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6930" tabRatio="602" activeTab="7"/>
  </bookViews>
  <sheets>
    <sheet name="Parâmetros" sheetId="1" r:id="rId1"/>
    <sheet name="Projeções" sheetId="2" r:id="rId2"/>
    <sheet name="RCL" sheetId="3" r:id="rId3"/>
    <sheet name="Pessoal" sheetId="4" r:id="rId4"/>
    <sheet name="Renúncia" sheetId="5" r:id="rId5"/>
    <sheet name="DOCC" sheetId="6" r:id="rId6"/>
    <sheet name="Anexo Riscos" sheetId="7" r:id="rId7"/>
    <sheet name="Anexo IV - Consdo Patrimônio" sheetId="8" r:id="rId8"/>
    <sheet name="Plan1" sheetId="9" r:id="rId9"/>
  </sheets>
  <definedNames>
    <definedName name="_xlnm.Print_Area" localSheetId="0">'Parâmetros'!$A$7:$G$26</definedName>
    <definedName name="_xlnm.Print_Area" localSheetId="1">'Projeções'!$A$1:$AL$173</definedName>
    <definedName name="Z_16B3F100_CCE8_11D8_BD62_000C6E3CD3F1_.wvu.Cols" localSheetId="0" hidden="1">'Parâmetros'!$C:$C,'Parâmetros'!#REF!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<sst xmlns="http://schemas.openxmlformats.org/spreadsheetml/2006/main" count="456" uniqueCount="402">
  <si>
    <t>CONTAS</t>
  </si>
  <si>
    <t>DESPESAS CORRENTES</t>
  </si>
  <si>
    <t>DESPESAS DE CAPITAL</t>
  </si>
  <si>
    <t>INVESTIMENTOS</t>
  </si>
  <si>
    <t>INVERSÕES FINANCEIRAS</t>
  </si>
  <si>
    <t>FISCAIS</t>
  </si>
  <si>
    <t xml:space="preserve">RESULTADOS </t>
  </si>
  <si>
    <t>CONSOLIDADAS ANUAIS</t>
  </si>
  <si>
    <t>REALIZADO</t>
  </si>
  <si>
    <t>PROJETADO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</si>
  <si>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</si>
  <si>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</si>
  <si>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</si>
  <si>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</si>
  <si>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</si>
  <si>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</si>
  <si>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</si>
  <si>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</si>
  <si>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</si>
  <si>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</si>
  <si>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</si>
  <si>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</si>
  <si>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</si>
  <si>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</si>
  <si>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</si>
  <si>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</si>
  <si>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</si>
  <si>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</si>
  <si>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</si>
  <si>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</si>
  <si>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</si>
  <si>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>3.0.00.00.00.00.00</t>
  </si>
  <si>
    <t>3.1.00.00.00.00.00</t>
  </si>
  <si>
    <t>PESSOAL E ENCARGOS SOCIAIS</t>
  </si>
  <si>
    <t>3.2.00.00.00.00.00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</si>
  <si>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</si>
  <si>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</si>
  <si>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</si>
  <si>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</si>
  <si>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</si>
  <si>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</si>
  <si>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</si>
  <si>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</si>
  <si>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</si>
  <si>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Valores em R$ 1,00</t>
  </si>
  <si>
    <t>ESPECIFICAÇÃO</t>
  </si>
  <si>
    <t>Valor</t>
  </si>
  <si>
    <t>TOTAL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</si>
  <si>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</si>
  <si>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</si>
  <si>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</si>
  <si>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</si>
  <si>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</si>
  <si>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</si>
  <si>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</si>
  <si>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</si>
  <si>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>DEMONSTRATIVO DE RISCOS FISCAIS E PROVIDÊNCIAS</t>
  </si>
  <si>
    <t>PROVIDÊNCIAS</t>
  </si>
  <si>
    <t>Descrição</t>
  </si>
  <si>
    <t>REESTIMADO</t>
  </si>
  <si>
    <t>JUROS E ENCARGOS DA DÍVIDA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</si>
  <si>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</si>
  <si>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</si>
  <si>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</si>
  <si>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</si>
  <si>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</si>
  <si>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</si>
  <si>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</si>
  <si>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</si>
  <si>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</si>
  <si>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da Prefeitura Municipal</t>
  </si>
  <si>
    <t xml:space="preserve">CRESCIMENTO DOS INVESTIMENTOS </t>
  </si>
  <si>
    <t>cando-se, sobre eles, as projeções de inflação para os referidos exercícios a saber:</t>
  </si>
  <si>
    <t>(-)  Transferências ao FUNDEB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</si>
  <si>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</si>
  <si>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</si>
  <si>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</si>
  <si>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</si>
  <si>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</si>
  <si>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</si>
  <si>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ANEXO DE RISCOS FISCAIS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</si>
  <si>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</si>
  <si>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</si>
  <si>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</si>
  <si>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</si>
  <si>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</si>
  <si>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</si>
  <si>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</si>
  <si>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</si>
  <si>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</si>
  <si>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</si>
  <si>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</si>
  <si>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</si>
  <si>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</si>
  <si>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</si>
  <si>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</si>
  <si>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</si>
  <si>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</si>
  <si>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</si>
  <si>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</si>
  <si>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</si>
  <si>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</si>
  <si>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</si>
  <si>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</si>
  <si>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</si>
  <si>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</si>
  <si>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</si>
  <si>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</si>
  <si>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</si>
  <si>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</si>
  <si>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Pessoal  do  R P P S </t>
  </si>
  <si>
    <t xml:space="preserve">Juros e encargos da Dívida RPPS </t>
  </si>
  <si>
    <t xml:space="preserve">Invetimentos  RPPS </t>
  </si>
  <si>
    <t>CONSERVAÇÃO DO PATRIMÔNIO</t>
  </si>
  <si>
    <t>Taxa de Juros Selic (Média do Ano)</t>
  </si>
  <si>
    <t>ARRECADADA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</si>
  <si>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</si>
  <si>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</si>
  <si>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</si>
  <si>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</si>
  <si>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</si>
  <si>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</si>
  <si>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</si>
  <si>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</si>
  <si>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</si>
  <si>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</si>
  <si>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</si>
  <si>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</si>
  <si>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</si>
  <si>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</si>
  <si>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</si>
  <si>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</si>
  <si>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</si>
  <si>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</si>
  <si>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</si>
  <si>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</si>
  <si>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</si>
  <si>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</si>
  <si>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</si>
  <si>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</si>
  <si>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</si>
  <si>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</si>
  <si>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</si>
  <si>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Exploração do Patrimônio Imobiliário do Estado</t>
  </si>
  <si>
    <t>1.3.2.0.00.0.0.00.00.00</t>
  </si>
  <si>
    <t>Valores Mobiliários</t>
  </si>
  <si>
    <t>1.3.2.1.00.1.1.01.00.00</t>
  </si>
  <si>
    <t>Remuneração de Depósitos de Recursos Vinculados - Principal</t>
  </si>
  <si>
    <t>1.3.2.1.00.1.1.02.00.00</t>
  </si>
  <si>
    <t>Remuneração de Depósitos de Recursos Não Vinculados - Principal</t>
  </si>
  <si>
    <t>1.3.2.1.00.4.0.00.00.00</t>
  </si>
  <si>
    <t>Remuneração dos Recursos do Regime Próprio de Previdência Social - RPPS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</si>
  <si>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</si>
  <si>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</si>
  <si>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</si>
  <si>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</si>
  <si>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</si>
  <si>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</si>
  <si>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</si>
  <si>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</si>
  <si>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</si>
  <si>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</si>
  <si>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</si>
  <si>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</si>
  <si>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</si>
  <si>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</si>
  <si>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</si>
  <si>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</si>
  <si>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</si>
  <si>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</si>
  <si>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</si>
  <si>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</si>
  <si>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</si>
  <si>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</si>
  <si>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</si>
  <si>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</si>
  <si>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</si>
  <si>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</si>
  <si>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</si>
  <si>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1.7.1.8.03.0.0.00.00.00</t>
  </si>
  <si>
    <t>Transferência de Recursos do Sistema Único de Saúde – SUS – Repasses Fundo a Fundo</t>
  </si>
  <si>
    <t>1.7.1.8.04.0.0.00.00.00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</si>
  <si>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</si>
  <si>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</si>
  <si>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</si>
  <si>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</si>
  <si>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</si>
  <si>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</si>
  <si>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Transferências de Convênios da União e de Suas Entidades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</si>
  <si>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</si>
  <si>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</si>
  <si>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</si>
  <si>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</si>
  <si>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</si>
  <si>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</si>
  <si>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</si>
  <si>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</si>
  <si>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</si>
  <si>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</si>
  <si>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</si>
  <si>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</si>
  <si>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</si>
  <si>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</si>
  <si>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</si>
  <si>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</si>
  <si>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1.7.2.8.03.0.0.00.00.00</t>
  </si>
  <si>
    <t>Transferência de Recursos do Estado para Programas de Saúde – Repasse Fundo a Fundo</t>
  </si>
  <si>
    <t>1.7.2.8.10.0.0.00.00.00</t>
  </si>
  <si>
    <t>Transferência de Convênios dos Estados e do Distrito Federal e de Suas Entidades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</si>
  <si>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</si>
  <si>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</si>
  <si>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</si>
  <si>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</si>
  <si>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</si>
  <si>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</si>
  <si>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</si>
  <si>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</si>
  <si>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</si>
  <si>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</si>
  <si>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</si>
  <si>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</si>
  <si>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</si>
  <si>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</si>
  <si>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</si>
  <si>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</si>
  <si>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</si>
  <si>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</si>
  <si>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</si>
  <si>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</si>
  <si>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</si>
  <si>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</si>
  <si>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</si>
  <si>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</si>
  <si>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</si>
  <si>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</si>
  <si>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</si>
  <si>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</si>
  <si>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</si>
  <si>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</si>
  <si>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</si>
  <si>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</si>
  <si>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</si>
  <si>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</si>
  <si>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</si>
  <si>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</si>
  <si>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</si>
  <si>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</si>
  <si>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</si>
  <si>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2.4.1.0.00.0.0.00.00.00</t>
  </si>
  <si>
    <t>2.4.2.0.00.0.0.00.00.00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</si>
  <si>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</si>
  <si>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</si>
  <si>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</si>
  <si>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</si>
  <si>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</si>
  <si>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</si>
  <si>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</si>
  <si>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</si>
  <si>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Outras Receitas Diretamente Arrecadadas pelo RPPS - Principal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</si>
  <si>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</si>
  <si>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</si>
  <si>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</si>
  <si>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</si>
  <si>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</si>
  <si>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</si>
  <si>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</si>
  <si>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</si>
  <si>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</si>
  <si>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</si>
  <si>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</si>
  <si>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Pessoal  - Executivo / Indiretes</t>
  </si>
  <si>
    <t>Pessoal  - Legislativo</t>
  </si>
  <si>
    <t>Juros e Encargos da Dívida - Executiv / Indiretas</t>
  </si>
  <si>
    <t>Juros e Encargos da Dívida - Legislativo</t>
  </si>
  <si>
    <t>Outras Despesas Correntes - Executivo</t>
  </si>
  <si>
    <t>Outras Despesas Correntes - Legislativo</t>
  </si>
  <si>
    <t>Outras Despesas Correntes  RPPS</t>
  </si>
  <si>
    <t>Investimentos - Executvi / Indiretas</t>
  </si>
  <si>
    <t>Investimentos - Legislativo</t>
  </si>
  <si>
    <t xml:space="preserve">4.5.90.99.00.00.00 </t>
  </si>
  <si>
    <t>Outras Inversões Financeiras - Executvi / Indiretas</t>
  </si>
  <si>
    <t>Outras Inversões Financeiras - Legislativo</t>
  </si>
  <si>
    <t>Amortização da Dívida  - Executivo / Indiretas</t>
  </si>
  <si>
    <t>Amortização da Dívida  - Legislativo</t>
  </si>
  <si>
    <t>Amortização da Dívida  - RPPS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</si>
  <si>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</si>
  <si>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</si>
  <si>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</si>
  <si>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</si>
  <si>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>Contribuição para o Regime Próprio de Previdência Social - RPPS (dos servidores)</t>
  </si>
  <si>
    <t>II - DEDUÇÕES</t>
  </si>
  <si>
    <t xml:space="preserve">    I R R F s/Rendimentos do Trabalho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</si>
  <si>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</si>
  <si>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</si>
  <si>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</si>
  <si>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</si>
  <si>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</si>
  <si>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</si>
  <si>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</si>
  <si>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</si>
  <si>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</si>
  <si>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</si>
  <si>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</si>
  <si>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</si>
  <si>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</si>
  <si>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Rendimentos de Aplicações de Rec.Previdenciários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</si>
  <si>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</si>
  <si>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</si>
  <si>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</si>
  <si>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</si>
  <si>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</si>
  <si>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</si>
  <si>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</si>
  <si>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</si>
  <si>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ESTIMATIVA E COMPENSAÇÃO DA RENÚNCIA DE RECEITA</t>
  </si>
  <si>
    <t xml:space="preserve">MARGEM DE EXPANSÃO DAS DESPESAS OBRIGATÓRIAS DE CARÁTER CONTINUADO  </t>
  </si>
  <si>
    <t>AMF - Demonstrativo 8 (LRF, art. 4°, § 2°, inciso V)</t>
  </si>
  <si>
    <t>AMF - Demonstrativo 7 (LRF, art. 4°, § 2°, inciso V)</t>
  </si>
  <si>
    <r>
      <t>ARF (LRF, art 4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, § 3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)</t>
    </r>
  </si>
  <si>
    <t>Indicador</t>
  </si>
  <si>
    <t>PAGA</t>
  </si>
  <si>
    <t>PAGA(Estim)</t>
  </si>
  <si>
    <t>Memória de Cálculo das Estimativas de Pagamento das Despesas - Inclusive Restos a Pagar</t>
  </si>
  <si>
    <t>TOTAL DAS RECEITAS ARRECADADAS</t>
  </si>
  <si>
    <t>1.6.0.0.00.0.0.00.00</t>
  </si>
  <si>
    <t>Demais Serviços</t>
  </si>
  <si>
    <t>1.6.4.0.01.1.0.00.00 + 1.6.4.0.03.1.0.00.00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</si>
  <si>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</si>
  <si>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</si>
  <si>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</si>
  <si>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</si>
  <si>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</si>
  <si>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</si>
  <si>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</si>
  <si>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</si>
  <si>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</si>
  <si>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</si>
  <si>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>Taxa de Câmbio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</si>
  <si>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</si>
  <si>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</si>
  <si>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</si>
  <si>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</si>
  <si>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t>Inflação para 2021:</t>
  </si>
  <si>
    <r>
      <t>( R ) Deduções da Receita</t>
    </r>
    <r>
      <rPr>
        <b/>
        <sz val="10"/>
        <color indexed="10"/>
        <rFont val="Arial"/>
        <family val="2"/>
      </rPr>
      <t xml:space="preserve"> </t>
    </r>
  </si>
  <si>
    <r>
      <t>Deduções da Receita de Impostos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</si>
  <si>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Corrente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</si>
  <si>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de Capital</t>
    </r>
    <r>
      <rPr>
        <sz val="10"/>
        <color indexed="10"/>
        <rFont val="Arial"/>
        <family val="2"/>
      </rPr>
      <t xml:space="preserve"> (digitar com sinal negativo)</t>
    </r>
  </si>
  <si>
    <t>Receitas Correntes Intraorçamentárias</t>
  </si>
  <si>
    <t>3.1.91.00.00.00.00</t>
  </si>
  <si>
    <t>3.2.91.00.00.00.00</t>
  </si>
  <si>
    <t>3.3.91.00.00.00.00</t>
  </si>
  <si>
    <t>4.4.91.00.00.00.00</t>
  </si>
  <si>
    <t xml:space="preserve">4.5.91.00.00.00.00 </t>
  </si>
  <si>
    <t>4.6.91.00.00.00.00</t>
  </si>
  <si>
    <t/>
  </si>
  <si>
    <r>
      <t>Despesas Com Pessoal  -</t>
    </r>
    <r>
      <rPr>
        <b/>
        <sz val="12"/>
        <color indexed="10"/>
        <rFont val="Arial"/>
        <family val="2"/>
      </rPr>
      <t xml:space="preserve"> INTRAORÇAMENTÁRIAS</t>
    </r>
  </si>
  <si>
    <r>
      <t xml:space="preserve">Juros e encargos da Dívida - </t>
    </r>
    <r>
      <rPr>
        <b/>
        <sz val="12"/>
        <color indexed="10"/>
        <rFont val="Arial"/>
        <family val="2"/>
      </rPr>
      <t>INTRAORÇAMENTÁRIAS</t>
    </r>
  </si>
  <si>
    <r>
      <t xml:space="preserve">Outras Despesas Correntes - </t>
    </r>
    <r>
      <rPr>
        <b/>
        <sz val="12"/>
        <color indexed="10"/>
        <rFont val="Arial"/>
        <family val="2"/>
      </rPr>
      <t>INTRAORÇAMENTÁRIAS</t>
    </r>
  </si>
  <si>
    <r>
      <t xml:space="preserve">Invetimentos  - </t>
    </r>
    <r>
      <rPr>
        <b/>
        <sz val="12"/>
        <color indexed="10"/>
        <rFont val="Arial"/>
        <family val="2"/>
      </rPr>
      <t>INTRAORÇAMENTÁRIAS</t>
    </r>
  </si>
  <si>
    <r>
      <t xml:space="preserve">Inversões Financeiras - </t>
    </r>
    <r>
      <rPr>
        <b/>
        <sz val="12"/>
        <color indexed="10"/>
        <rFont val="Arial"/>
        <family val="2"/>
      </rPr>
      <t>INTRAORÇAMENTÁRIAS</t>
    </r>
  </si>
  <si>
    <r>
      <t xml:space="preserve">Amortização da Dívida  - </t>
    </r>
    <r>
      <rPr>
        <b/>
        <sz val="12"/>
        <color indexed="10"/>
        <rFont val="Arial"/>
        <family val="2"/>
      </rPr>
      <t>INTRAORÇAMENTÁRIAS</t>
    </r>
  </si>
  <si>
    <t xml:space="preserve">TOTAL DAS DESPESAS </t>
  </si>
  <si>
    <t>RESULTADO ORÇAMENTÁRIO / RESERVA - SEM RPPS</t>
  </si>
  <si>
    <t>RESULTADO ORÇAMENTÁRIO / RESERVA DO RPPS</t>
  </si>
  <si>
    <t>Apuração Conforme a Instrução Normativa nº 13/2018, do TCE/RS</t>
  </si>
  <si>
    <t>EXERCÍCIO DE 2020</t>
  </si>
  <si>
    <t>Obs:  1 -   Os valores da renúncia para 2020 foram previstos de acordo com informações do setor tributário</t>
  </si>
  <si>
    <t>2 - Os valores da renúncia projetados para 2021 e 2022, foram claculados a partir dos valores de 2020, apli</t>
  </si>
  <si>
    <t>Inflação para 2022:</t>
  </si>
  <si>
    <t>Valor Previsto 2020</t>
  </si>
  <si>
    <t>RECURSOS PRIORIZADOS PARA 2020</t>
  </si>
  <si>
    <t>ATÉ EXERC ANTERIOR - 2018</t>
  </si>
  <si>
    <t>NO EXERCÍCIO DE 2019</t>
  </si>
  <si>
    <t>A EXECUTAR EM 2020</t>
  </si>
  <si>
    <t>Município de : JACUIZINHO RS</t>
  </si>
  <si>
    <t>Tabela 03 - Estimativas para a Receita Corrente Líquida</t>
  </si>
  <si>
    <t>Tabela 02 - Memória de Cálculo das Estimativas das Receitas</t>
  </si>
  <si>
    <t>TABELA  01 - Parâmentos Utilizados nas Estimativas das Receitas e Despesas</t>
  </si>
  <si>
    <t>Tabela 04 - Estimativa de Limites de Gastos com Pessoal do Poder Executivo e Legislativo para o período de 2020 a 2022</t>
  </si>
  <si>
    <t>IPTU</t>
  </si>
  <si>
    <t>outros beneficios</t>
  </si>
  <si>
    <t>Desconto pagamento IPTU á vista</t>
  </si>
  <si>
    <t>Compra de material para suprir necessidades das famílias atingidas por eventuais despesas como: vendavais, granizos, estiagem, enchentes e outros.</t>
  </si>
  <si>
    <t>Limitação de empenho, alterações orçamentárias.</t>
  </si>
  <si>
    <t>Creditos Adicionais</t>
  </si>
  <si>
    <t>08.04.2015</t>
  </si>
  <si>
    <t>construção quadra coberta</t>
  </si>
  <si>
    <t>15.05.2018</t>
  </si>
  <si>
    <t>Ampliação Ginasio Municipal</t>
  </si>
  <si>
    <t>10.07.2019</t>
  </si>
  <si>
    <t>Ampliação escola Infantil Vovó Noeli</t>
  </si>
  <si>
    <t>Revitalização de melhorias no parque municipal de rodeios</t>
  </si>
  <si>
    <t xml:space="preserve">Memória de Cálculo das Estimativas de Pagamento das Despesas - Inclusive Restos a Pagar                                                                </t>
  </si>
  <si>
    <t>MUNICÍPIO DE: JACUIZINHO RS</t>
  </si>
  <si>
    <t>LEI ORÇAMENTÁRIA PARA 2020</t>
  </si>
  <si>
    <t>Lei Orçamentária para o Exercício de 2020</t>
  </si>
  <si>
    <t>LEI  ORÇAMENTÁRIA  2020</t>
  </si>
  <si>
    <t>Multas e Juros divida ativa</t>
  </si>
  <si>
    <t>desconto concedido por lei</t>
  </si>
  <si>
    <t xml:space="preserve">Fonte: Sistema contabil (cpcetil) Data da emissão 11/10/2019 </t>
  </si>
  <si>
    <t>LEI ORÇAMENTÁRIA</t>
  </si>
  <si>
    <t>LEI ORÇAMENTÁRIA - 2020</t>
  </si>
</sst>
</file>

<file path=xl/styles.xml><?xml version="1.0" encoding="utf-8"?>
<styleSheet xmlns="http://schemas.openxmlformats.org/spreadsheetml/2006/main">
  <numFmts count="6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0_);[Red]\(0\)"/>
    <numFmt numFmtId="199" formatCode="#,##0.0"/>
    <numFmt numFmtId="200" formatCode="mmm\-yy"/>
    <numFmt numFmtId="201" formatCode="d/m"/>
    <numFmt numFmtId="202" formatCode="d/m/yy"/>
    <numFmt numFmtId="203" formatCode="mmmm\-yy"/>
    <numFmt numFmtId="204" formatCode="d\-mmm"/>
    <numFmt numFmtId="205" formatCode="0.0"/>
    <numFmt numFmtId="206" formatCode="0.000"/>
    <numFmt numFmtId="207" formatCode="\ @"/>
    <numFmt numFmtId="208" formatCode="\ \ \ \ @"/>
    <numFmt numFmtId="209" formatCode="\ \ \ \ \ @"/>
    <numFmt numFmtId="210" formatCode="\ \ \ \ \ \ \ \ \ \ \ \ \ \ \ @"/>
    <numFmt numFmtId="211" formatCode="0.000%"/>
    <numFmt numFmtId="212" formatCode="[$-416]dddd\,\ d&quot; de &quot;mmmm&quot; de &quot;yyyy"/>
    <numFmt numFmtId="213" formatCode="00000"/>
    <numFmt numFmtId="214" formatCode="0&quot;.&quot;0&quot;.&quot;0&quot;.&quot;0&quot;.&quot;00&quot;.&quot;0&quot;.&quot;0"/>
    <numFmt numFmtId="215" formatCode="#,##0.00_ ;\-#,##0.00\ "/>
    <numFmt numFmtId="216" formatCode="_(* #,##0_);_(* \(#,##0\);_(* &quot;-&quot;??_);_(@_)"/>
    <numFmt numFmtId="217" formatCode="&quot;Sim&quot;;&quot;Sim&quot;;&quot;Não&quot;"/>
    <numFmt numFmtId="218" formatCode="&quot;Verdadeiro&quot;;&quot;Verdadeiro&quot;;&quot;Falso&quot;"/>
    <numFmt numFmtId="219" formatCode="&quot;Ativar&quot;;&quot;Ativar&quot;;&quot;Desativar&quot;"/>
    <numFmt numFmtId="220" formatCode="[$€-2]\ #,##0.00_);[Red]\([$€-2]\ #,##0.00\)"/>
    <numFmt numFmtId="221" formatCode="0&quot;.&quot;0&quot;.&quot;0&quot;.&quot;0&quot;.&quot;0&quot;.&quot;00&quot;.&quot;00"/>
    <numFmt numFmtId="222" formatCode="&quot;Ativado&quot;;&quot;Ativado&quot;;&quot;Desativado&quot;"/>
  </numFmts>
  <fonts count="7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Helv"/>
      <family val="0"/>
    </font>
    <font>
      <u val="single"/>
      <vertAlign val="superscript"/>
      <sz val="11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8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2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 applyProtection="1">
      <alignment horizontal="left"/>
      <protection locked="0"/>
    </xf>
    <xf numFmtId="38" fontId="18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 vertical="center"/>
      <protection locked="0"/>
    </xf>
    <xf numFmtId="38" fontId="18" fillId="0" borderId="0" xfId="0" applyNumberFormat="1" applyFont="1" applyAlignment="1" applyProtection="1">
      <alignment/>
      <protection locked="0"/>
    </xf>
    <xf numFmtId="198" fontId="10" fillId="34" borderId="10" xfId="0" applyNumberFormat="1" applyFont="1" applyFill="1" applyBorder="1" applyAlignment="1" applyProtection="1">
      <alignment horizontal="center"/>
      <protection locked="0"/>
    </xf>
    <xf numFmtId="198" fontId="10" fillId="34" borderId="11" xfId="0" applyNumberFormat="1" applyFont="1" applyFill="1" applyBorder="1" applyAlignment="1" applyProtection="1">
      <alignment horizontal="center"/>
      <protection locked="0"/>
    </xf>
    <xf numFmtId="38" fontId="10" fillId="0" borderId="10" xfId="0" applyNumberFormat="1" applyFont="1" applyBorder="1" applyAlignment="1" applyProtection="1">
      <alignment/>
      <protection locked="0"/>
    </xf>
    <xf numFmtId="38" fontId="10" fillId="0" borderId="11" xfId="0" applyNumberFormat="1" applyFont="1" applyBorder="1" applyAlignment="1" applyProtection="1">
      <alignment/>
      <protection locked="0"/>
    </xf>
    <xf numFmtId="38" fontId="10" fillId="33" borderId="11" xfId="0" applyNumberFormat="1" applyFont="1" applyFill="1" applyBorder="1" applyAlignment="1" applyProtection="1">
      <alignment/>
      <protection locked="0"/>
    </xf>
    <xf numFmtId="38" fontId="10" fillId="0" borderId="12" xfId="0" applyNumberFormat="1" applyFont="1" applyBorder="1" applyAlignment="1" applyProtection="1">
      <alignment/>
      <protection locked="0"/>
    </xf>
    <xf numFmtId="38" fontId="10" fillId="33" borderId="13" xfId="0" applyNumberFormat="1" applyFont="1" applyFill="1" applyBorder="1" applyAlignment="1" applyProtection="1">
      <alignment/>
      <protection locked="0"/>
    </xf>
    <xf numFmtId="38" fontId="10" fillId="0" borderId="14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185" fontId="0" fillId="0" borderId="15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left"/>
    </xf>
    <xf numFmtId="171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6" fillId="34" borderId="0" xfId="0" applyFont="1" applyFill="1" applyAlignment="1">
      <alignment/>
    </xf>
    <xf numFmtId="0" fontId="27" fillId="0" borderId="0" xfId="0" applyFont="1" applyAlignment="1" applyProtection="1">
      <alignment/>
      <protection locked="0"/>
    </xf>
    <xf numFmtId="0" fontId="25" fillId="0" borderId="0" xfId="0" applyFont="1" applyFill="1" applyAlignment="1">
      <alignment/>
    </xf>
    <xf numFmtId="185" fontId="2" fillId="0" borderId="15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4" fontId="10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8" fontId="1" fillId="34" borderId="10" xfId="0" applyNumberFormat="1" applyFont="1" applyFill="1" applyBorder="1" applyAlignment="1">
      <alignment horizontal="center" vertical="center"/>
    </xf>
    <xf numFmtId="198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9" fillId="35" borderId="18" xfId="0" applyFont="1" applyFill="1" applyBorder="1" applyAlignment="1">
      <alignment/>
    </xf>
    <xf numFmtId="185" fontId="9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36" borderId="19" xfId="0" applyFont="1" applyFill="1" applyBorder="1" applyAlignment="1" applyProtection="1">
      <alignment horizontal="center" vertical="center"/>
      <protection/>
    </xf>
    <xf numFmtId="0" fontId="29" fillId="36" borderId="15" xfId="0" applyFont="1" applyFill="1" applyBorder="1" applyAlignment="1" applyProtection="1">
      <alignment horizontal="center" vertical="center"/>
      <protection/>
    </xf>
    <xf numFmtId="49" fontId="29" fillId="36" borderId="19" xfId="0" applyNumberFormat="1" applyFont="1" applyFill="1" applyBorder="1" applyAlignment="1" applyProtection="1">
      <alignment vertical="center"/>
      <protection/>
    </xf>
    <xf numFmtId="171" fontId="29" fillId="36" borderId="15" xfId="0" applyNumberFormat="1" applyFont="1" applyFill="1" applyBorder="1" applyAlignment="1" applyProtection="1">
      <alignment vertical="center"/>
      <protection/>
    </xf>
    <xf numFmtId="49" fontId="29" fillId="36" borderId="19" xfId="0" applyNumberFormat="1" applyFont="1" applyFill="1" applyBorder="1" applyAlignment="1" applyProtection="1">
      <alignment horizontal="left" vertical="center"/>
      <protection/>
    </xf>
    <xf numFmtId="171" fontId="29" fillId="36" borderId="15" xfId="0" applyNumberFormat="1" applyFont="1" applyFill="1" applyBorder="1" applyAlignment="1" applyProtection="1">
      <alignment horizontal="left" vertical="center"/>
      <protection/>
    </xf>
    <xf numFmtId="49" fontId="30" fillId="36" borderId="0" xfId="0" applyNumberFormat="1" applyFont="1" applyFill="1" applyBorder="1" applyAlignment="1" applyProtection="1">
      <alignment horizontal="left" vertical="center"/>
      <protection/>
    </xf>
    <xf numFmtId="171" fontId="30" fillId="36" borderId="15" xfId="0" applyNumberFormat="1" applyFont="1" applyFill="1" applyBorder="1" applyAlignment="1" applyProtection="1">
      <alignment horizontal="left" vertical="center"/>
      <protection/>
    </xf>
    <xf numFmtId="0" fontId="30" fillId="36" borderId="0" xfId="0" applyFont="1" applyFill="1" applyAlignment="1" applyProtection="1">
      <alignment horizontal="left" vertical="center" indent="1"/>
      <protection/>
    </xf>
    <xf numFmtId="171" fontId="30" fillId="36" borderId="15" xfId="0" applyNumberFormat="1" applyFont="1" applyFill="1" applyBorder="1" applyAlignment="1" applyProtection="1">
      <alignment horizontal="left" vertical="center" indent="1"/>
      <protection/>
    </xf>
    <xf numFmtId="49" fontId="30" fillId="36" borderId="0" xfId="0" applyNumberFormat="1" applyFont="1" applyFill="1" applyBorder="1" applyAlignment="1" applyProtection="1">
      <alignment horizontal="left" vertical="center" indent="1"/>
      <protection/>
    </xf>
    <xf numFmtId="0" fontId="5" fillId="37" borderId="20" xfId="0" applyFont="1" applyFill="1" applyBorder="1" applyAlignment="1">
      <alignment horizontal="center" wrapText="1"/>
    </xf>
    <xf numFmtId="0" fontId="31" fillId="37" borderId="0" xfId="0" applyFont="1" applyFill="1" applyBorder="1" applyAlignment="1">
      <alignment horizontal="center" wrapText="1"/>
    </xf>
    <xf numFmtId="1" fontId="29" fillId="35" borderId="18" xfId="63" applyNumberFormat="1" applyFont="1" applyFill="1" applyBorder="1" applyAlignment="1" applyProtection="1">
      <alignment horizontal="center" vertical="center" wrapText="1"/>
      <protection/>
    </xf>
    <xf numFmtId="0" fontId="30" fillId="35" borderId="0" xfId="63" applyNumberFormat="1" applyFont="1" applyFill="1" applyBorder="1" applyAlignment="1" applyProtection="1">
      <alignment horizontal="left" vertical="center"/>
      <protection/>
    </xf>
    <xf numFmtId="0" fontId="30" fillId="35" borderId="0" xfId="63" applyNumberFormat="1" applyFont="1" applyFill="1" applyAlignment="1" applyProtection="1">
      <alignment horizontal="left" vertical="center"/>
      <protection/>
    </xf>
    <xf numFmtId="49" fontId="0" fillId="35" borderId="0" xfId="0" applyNumberFormat="1" applyFont="1" applyFill="1" applyAlignment="1" applyProtection="1">
      <alignment vertical="center"/>
      <protection/>
    </xf>
    <xf numFmtId="216" fontId="0" fillId="35" borderId="0" xfId="63" applyNumberFormat="1" applyFont="1" applyFill="1" applyAlignment="1" applyProtection="1">
      <alignment vertical="center"/>
      <protection/>
    </xf>
    <xf numFmtId="171" fontId="30" fillId="35" borderId="21" xfId="63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Alignment="1">
      <alignment horizontal="center"/>
    </xf>
    <xf numFmtId="171" fontId="30" fillId="35" borderId="22" xfId="63" applyNumberFormat="1" applyFont="1" applyFill="1" applyBorder="1" applyAlignment="1" applyProtection="1">
      <alignment horizontal="left" vertical="center" indent="2"/>
      <protection/>
    </xf>
    <xf numFmtId="171" fontId="30" fillId="35" borderId="23" xfId="63" applyNumberFormat="1" applyFont="1" applyFill="1" applyBorder="1" applyAlignment="1" applyProtection="1">
      <alignment horizontal="left" vertical="center" indent="2"/>
      <protection/>
    </xf>
    <xf numFmtId="0" fontId="30" fillId="35" borderId="24" xfId="63" applyNumberFormat="1" applyFont="1" applyFill="1" applyBorder="1" applyAlignment="1" applyProtection="1">
      <alignment horizontal="left" vertical="center"/>
      <protection/>
    </xf>
    <xf numFmtId="0" fontId="30" fillId="35" borderId="25" xfId="63" applyNumberFormat="1" applyFont="1" applyFill="1" applyBorder="1" applyAlignment="1" applyProtection="1">
      <alignment horizontal="left" vertical="center"/>
      <protection/>
    </xf>
    <xf numFmtId="0" fontId="30" fillId="35" borderId="26" xfId="6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justify" vertical="top" wrapText="1"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198" fontId="5" fillId="35" borderId="27" xfId="0" applyNumberFormat="1" applyFont="1" applyFill="1" applyBorder="1" applyAlignment="1">
      <alignment horizontal="center" vertical="center"/>
    </xf>
    <xf numFmtId="198" fontId="32" fillId="35" borderId="28" xfId="0" applyNumberFormat="1" applyFont="1" applyFill="1" applyBorder="1" applyAlignment="1" applyProtection="1">
      <alignment horizontal="center"/>
      <protection locked="0"/>
    </xf>
    <xf numFmtId="198" fontId="32" fillId="35" borderId="29" xfId="0" applyNumberFormat="1" applyFont="1" applyFill="1" applyBorder="1" applyAlignment="1" applyProtection="1">
      <alignment horizontal="center"/>
      <protection locked="0"/>
    </xf>
    <xf numFmtId="198" fontId="32" fillId="35" borderId="30" xfId="0" applyNumberFormat="1" applyFont="1" applyFill="1" applyBorder="1" applyAlignment="1" applyProtection="1">
      <alignment horizontal="center"/>
      <protection locked="0"/>
    </xf>
    <xf numFmtId="198" fontId="32" fillId="35" borderId="31" xfId="0" applyNumberFormat="1" applyFont="1" applyFill="1" applyBorder="1" applyAlignment="1" applyProtection="1">
      <alignment horizont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197" fontId="5" fillId="35" borderId="32" xfId="47" applyFont="1" applyFill="1" applyBorder="1" applyAlignment="1">
      <alignment horizontal="center" vertical="center"/>
    </xf>
    <xf numFmtId="198" fontId="5" fillId="35" borderId="10" xfId="0" applyNumberFormat="1" applyFont="1" applyFill="1" applyBorder="1" applyAlignment="1">
      <alignment horizontal="center" vertical="center"/>
    </xf>
    <xf numFmtId="198" fontId="5" fillId="35" borderId="11" xfId="0" applyNumberFormat="1" applyFont="1" applyFill="1" applyBorder="1" applyAlignment="1">
      <alignment horizontal="center" vertical="center"/>
    </xf>
    <xf numFmtId="0" fontId="5" fillId="35" borderId="26" xfId="50" applyFont="1" applyFill="1" applyBorder="1" applyAlignment="1">
      <alignment vertical="center"/>
      <protection/>
    </xf>
    <xf numFmtId="0" fontId="5" fillId="35" borderId="26" xfId="50" applyNumberFormat="1" applyFont="1" applyFill="1" applyBorder="1" applyAlignment="1">
      <alignment vertical="center" wrapText="1"/>
      <protection/>
    </xf>
    <xf numFmtId="171" fontId="32" fillId="35" borderId="10" xfId="0" applyNumberFormat="1" applyFont="1" applyFill="1" applyBorder="1" applyAlignment="1" applyProtection="1">
      <alignment horizontal="right"/>
      <protection locked="0"/>
    </xf>
    <xf numFmtId="0" fontId="5" fillId="35" borderId="15" xfId="50" applyFont="1" applyFill="1" applyBorder="1" applyAlignment="1">
      <alignment vertical="center"/>
      <protection/>
    </xf>
    <xf numFmtId="0" fontId="5" fillId="35" borderId="15" xfId="50" applyNumberFormat="1" applyFont="1" applyFill="1" applyBorder="1" applyAlignment="1">
      <alignment vertical="center" wrapText="1"/>
      <protection/>
    </xf>
    <xf numFmtId="171" fontId="5" fillId="35" borderId="15" xfId="0" applyNumberFormat="1" applyFont="1" applyFill="1" applyBorder="1" applyAlignment="1">
      <alignment/>
    </xf>
    <xf numFmtId="0" fontId="0" fillId="35" borderId="15" xfId="50" applyFont="1" applyFill="1" applyBorder="1" applyAlignment="1">
      <alignment vertical="center"/>
      <protection/>
    </xf>
    <xf numFmtId="0" fontId="0" fillId="35" borderId="15" xfId="50" applyNumberFormat="1" applyFont="1" applyFill="1" applyBorder="1" applyAlignment="1">
      <alignment vertical="center" wrapText="1"/>
      <protection/>
    </xf>
    <xf numFmtId="171" fontId="0" fillId="35" borderId="15" xfId="0" applyNumberFormat="1" applyFont="1" applyFill="1" applyBorder="1" applyAlignment="1">
      <alignment/>
    </xf>
    <xf numFmtId="214" fontId="0" fillId="35" borderId="15" xfId="50" applyNumberFormat="1" applyFont="1" applyFill="1" applyBorder="1" applyAlignment="1">
      <alignment vertical="center" wrapText="1"/>
      <protection/>
    </xf>
    <xf numFmtId="0" fontId="0" fillId="35" borderId="33" xfId="50" applyFont="1" applyFill="1" applyBorder="1" applyAlignment="1">
      <alignment vertical="center"/>
      <protection/>
    </xf>
    <xf numFmtId="185" fontId="0" fillId="35" borderId="15" xfId="0" applyNumberFormat="1" applyFont="1" applyFill="1" applyBorder="1" applyAlignment="1">
      <alignment/>
    </xf>
    <xf numFmtId="185" fontId="5" fillId="35" borderId="15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185" fontId="1" fillId="35" borderId="15" xfId="0" applyNumberFormat="1" applyFont="1" applyFill="1" applyBorder="1" applyAlignment="1">
      <alignment/>
    </xf>
    <xf numFmtId="0" fontId="10" fillId="35" borderId="16" xfId="0" applyNumberFormat="1" applyFont="1" applyFill="1" applyBorder="1" applyAlignment="1" applyProtection="1">
      <alignment horizontal="center" vertical="center"/>
      <protection locked="0"/>
    </xf>
    <xf numFmtId="198" fontId="1" fillId="35" borderId="27" xfId="0" applyNumberFormat="1" applyFont="1" applyFill="1" applyBorder="1" applyAlignment="1">
      <alignment horizontal="center" vertical="center"/>
    </xf>
    <xf numFmtId="198" fontId="10" fillId="35" borderId="28" xfId="0" applyNumberFormat="1" applyFont="1" applyFill="1" applyBorder="1" applyAlignment="1" applyProtection="1">
      <alignment horizontal="center"/>
      <protection locked="0"/>
    </xf>
    <xf numFmtId="198" fontId="10" fillId="35" borderId="29" xfId="0" applyNumberFormat="1" applyFont="1" applyFill="1" applyBorder="1" applyAlignment="1" applyProtection="1">
      <alignment horizontal="center"/>
      <protection locked="0"/>
    </xf>
    <xf numFmtId="198" fontId="10" fillId="35" borderId="30" xfId="0" applyNumberFormat="1" applyFont="1" applyFill="1" applyBorder="1" applyAlignment="1" applyProtection="1">
      <alignment horizontal="center"/>
      <protection locked="0"/>
    </xf>
    <xf numFmtId="198" fontId="10" fillId="35" borderId="31" xfId="0" applyNumberFormat="1" applyFont="1" applyFill="1" applyBorder="1" applyAlignment="1" applyProtection="1">
      <alignment horizontal="center"/>
      <protection locked="0"/>
    </xf>
    <xf numFmtId="0" fontId="10" fillId="35" borderId="0" xfId="0" applyNumberFormat="1" applyFont="1" applyFill="1" applyBorder="1" applyAlignment="1" applyProtection="1">
      <alignment horizontal="center" vertical="center"/>
      <protection locked="0"/>
    </xf>
    <xf numFmtId="197" fontId="1" fillId="35" borderId="32" xfId="47" applyFont="1" applyFill="1" applyBorder="1" applyAlignment="1">
      <alignment horizontal="center" vertical="center"/>
    </xf>
    <xf numFmtId="198" fontId="1" fillId="35" borderId="10" xfId="0" applyNumberFormat="1" applyFont="1" applyFill="1" applyBorder="1" applyAlignment="1">
      <alignment horizontal="center" vertical="center"/>
    </xf>
    <xf numFmtId="198" fontId="1" fillId="35" borderId="11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185" fontId="2" fillId="35" borderId="15" xfId="0" applyNumberFormat="1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185" fontId="2" fillId="38" borderId="15" xfId="0" applyNumberFormat="1" applyFont="1" applyFill="1" applyBorder="1" applyAlignment="1">
      <alignment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vertical="top" wrapText="1"/>
    </xf>
    <xf numFmtId="0" fontId="16" fillId="35" borderId="18" xfId="0" applyFont="1" applyFill="1" applyBorder="1" applyAlignment="1">
      <alignment vertical="top" wrapText="1"/>
    </xf>
    <xf numFmtId="185" fontId="16" fillId="35" borderId="25" xfId="0" applyNumberFormat="1" applyFont="1" applyFill="1" applyBorder="1" applyAlignment="1">
      <alignment vertical="top" wrapText="1"/>
    </xf>
    <xf numFmtId="0" fontId="16" fillId="35" borderId="15" xfId="0" applyFont="1" applyFill="1" applyBorder="1" applyAlignment="1">
      <alignment horizontal="center" vertical="center" wrapText="1"/>
    </xf>
    <xf numFmtId="171" fontId="0" fillId="35" borderId="17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171" fontId="0" fillId="0" borderId="17" xfId="0" applyNumberFormat="1" applyFont="1" applyFill="1" applyBorder="1" applyAlignment="1">
      <alignment wrapText="1"/>
    </xf>
    <xf numFmtId="10" fontId="0" fillId="0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171" fontId="0" fillId="0" borderId="17" xfId="0" applyNumberFormat="1" applyFont="1" applyFill="1" applyBorder="1" applyAlignment="1">
      <alignment horizontal="right" wrapText="1"/>
    </xf>
    <xf numFmtId="17" fontId="0" fillId="0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181" fontId="0" fillId="0" borderId="37" xfId="0" applyNumberFormat="1" applyFont="1" applyFill="1" applyBorder="1" applyAlignment="1">
      <alignment horizontal="right" wrapText="1"/>
    </xf>
    <xf numFmtId="0" fontId="0" fillId="35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wrapText="1"/>
    </xf>
    <xf numFmtId="185" fontId="0" fillId="0" borderId="34" xfId="0" applyNumberFormat="1" applyFont="1" applyFill="1" applyBorder="1" applyAlignment="1">
      <alignment wrapText="1"/>
    </xf>
    <xf numFmtId="185" fontId="0" fillId="35" borderId="34" xfId="0" applyNumberFormat="1" applyFont="1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85" fontId="0" fillId="0" borderId="18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center" wrapText="1"/>
    </xf>
    <xf numFmtId="185" fontId="0" fillId="35" borderId="18" xfId="0" applyNumberFormat="1" applyFont="1" applyFill="1" applyBorder="1" applyAlignment="1">
      <alignment wrapText="1"/>
    </xf>
    <xf numFmtId="0" fontId="0" fillId="35" borderId="15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wrapText="1"/>
    </xf>
    <xf numFmtId="181" fontId="16" fillId="0" borderId="39" xfId="0" applyNumberFormat="1" applyFont="1" applyFill="1" applyBorder="1" applyAlignment="1">
      <alignment horizontal="right" wrapText="1"/>
    </xf>
    <xf numFmtId="0" fontId="6" fillId="35" borderId="34" xfId="0" applyFont="1" applyFill="1" applyBorder="1" applyAlignment="1">
      <alignment vertical="top" wrapText="1"/>
    </xf>
    <xf numFmtId="185" fontId="6" fillId="35" borderId="25" xfId="0" applyNumberFormat="1" applyFont="1" applyFill="1" applyBorder="1" applyAlignment="1">
      <alignment vertical="top" wrapText="1"/>
    </xf>
    <xf numFmtId="0" fontId="6" fillId="35" borderId="18" xfId="0" applyFont="1" applyFill="1" applyBorder="1" applyAlignment="1">
      <alignment vertical="top" wrapText="1"/>
    </xf>
    <xf numFmtId="185" fontId="6" fillId="35" borderId="26" xfId="0" applyNumberFormat="1" applyFont="1" applyFill="1" applyBorder="1" applyAlignment="1">
      <alignment vertical="top" wrapText="1"/>
    </xf>
    <xf numFmtId="185" fontId="16" fillId="0" borderId="26" xfId="0" applyNumberFormat="1" applyFont="1" applyFill="1" applyBorder="1" applyAlignment="1">
      <alignment vertical="top" wrapText="1"/>
    </xf>
    <xf numFmtId="185" fontId="16" fillId="0" borderId="25" xfId="0" applyNumberFormat="1" applyFont="1" applyFill="1" applyBorder="1" applyAlignment="1">
      <alignment vertical="top" wrapText="1"/>
    </xf>
    <xf numFmtId="185" fontId="6" fillId="35" borderId="26" xfId="0" applyNumberFormat="1" applyFont="1" applyFill="1" applyBorder="1" applyAlignment="1">
      <alignment horizontal="right" vertical="top" wrapText="1"/>
    </xf>
    <xf numFmtId="0" fontId="6" fillId="35" borderId="15" xfId="0" applyFont="1" applyFill="1" applyBorder="1" applyAlignment="1">
      <alignment horizontal="center" wrapText="1"/>
    </xf>
    <xf numFmtId="0" fontId="16" fillId="35" borderId="15" xfId="0" applyFont="1" applyFill="1" applyBorder="1" applyAlignment="1">
      <alignment horizontal="left" wrapText="1"/>
    </xf>
    <xf numFmtId="185" fontId="16" fillId="0" borderId="15" xfId="0" applyNumberFormat="1" applyFont="1" applyFill="1" applyBorder="1" applyAlignment="1">
      <alignment horizontal="justify" vertical="top" wrapText="1"/>
    </xf>
    <xf numFmtId="0" fontId="16" fillId="0" borderId="15" xfId="0" applyFont="1" applyFill="1" applyBorder="1" applyAlignment="1">
      <alignment horizontal="justify" vertical="top" wrapText="1"/>
    </xf>
    <xf numFmtId="0" fontId="6" fillId="35" borderId="24" xfId="0" applyFont="1" applyFill="1" applyBorder="1" applyAlignment="1">
      <alignment horizontal="left" wrapText="1"/>
    </xf>
    <xf numFmtId="185" fontId="6" fillId="35" borderId="24" xfId="0" applyNumberFormat="1" applyFont="1" applyFill="1" applyBorder="1" applyAlignment="1">
      <alignment horizontal="justify" vertical="top" wrapText="1"/>
    </xf>
    <xf numFmtId="0" fontId="6" fillId="35" borderId="15" xfId="0" applyFont="1" applyFill="1" applyBorder="1" applyAlignment="1">
      <alignment horizontal="left" wrapText="1"/>
    </xf>
    <xf numFmtId="185" fontId="6" fillId="35" borderId="15" xfId="0" applyNumberFormat="1" applyFont="1" applyFill="1" applyBorder="1" applyAlignment="1">
      <alignment horizontal="justify" vertical="top" wrapText="1"/>
    </xf>
    <xf numFmtId="185" fontId="16" fillId="35" borderId="15" xfId="0" applyNumberFormat="1" applyFont="1" applyFill="1" applyBorder="1" applyAlignment="1">
      <alignment horizontal="justify" vertical="top" wrapText="1"/>
    </xf>
    <xf numFmtId="0" fontId="5" fillId="39" borderId="15" xfId="50" applyFont="1" applyFill="1" applyBorder="1" applyAlignment="1">
      <alignment vertical="center"/>
      <protection/>
    </xf>
    <xf numFmtId="0" fontId="5" fillId="39" borderId="15" xfId="50" applyNumberFormat="1" applyFont="1" applyFill="1" applyBorder="1" applyAlignment="1">
      <alignment vertical="center" wrapText="1"/>
      <protection/>
    </xf>
    <xf numFmtId="171" fontId="5" fillId="39" borderId="15" xfId="0" applyNumberFormat="1" applyFont="1" applyFill="1" applyBorder="1" applyAlignment="1">
      <alignment/>
    </xf>
    <xf numFmtId="0" fontId="0" fillId="35" borderId="15" xfId="50" applyFont="1" applyFill="1" applyBorder="1" applyAlignment="1">
      <alignment vertical="center" wrapText="1"/>
      <protection/>
    </xf>
    <xf numFmtId="0" fontId="5" fillId="37" borderId="15" xfId="50" applyFont="1" applyFill="1" applyBorder="1" applyAlignment="1">
      <alignment vertical="center"/>
      <protection/>
    </xf>
    <xf numFmtId="0" fontId="5" fillId="37" borderId="15" xfId="50" applyNumberFormat="1" applyFont="1" applyFill="1" applyBorder="1" applyAlignment="1">
      <alignment vertical="center" wrapText="1"/>
      <protection/>
    </xf>
    <xf numFmtId="171" fontId="5" fillId="37" borderId="15" xfId="0" applyNumberFormat="1" applyFont="1" applyFill="1" applyBorder="1" applyAlignment="1">
      <alignment/>
    </xf>
    <xf numFmtId="171" fontId="0" fillId="33" borderId="15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 horizontal="right" wrapText="1"/>
    </xf>
    <xf numFmtId="39" fontId="0" fillId="40" borderId="15" xfId="0" applyNumberFormat="1" applyFont="1" applyFill="1" applyBorder="1" applyAlignment="1" applyProtection="1">
      <alignment horizontal="center"/>
      <protection/>
    </xf>
    <xf numFmtId="0" fontId="5" fillId="41" borderId="15" xfId="0" applyFont="1" applyFill="1" applyBorder="1" applyAlignment="1">
      <alignment horizontal="center"/>
    </xf>
    <xf numFmtId="0" fontId="5" fillId="42" borderId="15" xfId="0" applyFont="1" applyFill="1" applyBorder="1" applyAlignment="1" applyProtection="1">
      <alignment/>
      <protection locked="0"/>
    </xf>
    <xf numFmtId="10" fontId="0" fillId="41" borderId="15" xfId="0" applyNumberFormat="1" applyFont="1" applyFill="1" applyBorder="1" applyAlignment="1" applyProtection="1">
      <alignment horizontal="right"/>
      <protection locked="0"/>
    </xf>
    <xf numFmtId="10" fontId="0" fillId="41" borderId="15" xfId="0" applyNumberFormat="1" applyFont="1" applyFill="1" applyBorder="1" applyAlignment="1" applyProtection="1">
      <alignment horizontal="center"/>
      <protection/>
    </xf>
    <xf numFmtId="0" fontId="5" fillId="42" borderId="15" xfId="0" applyFont="1" applyFill="1" applyBorder="1" applyAlignment="1">
      <alignment/>
    </xf>
    <xf numFmtId="10" fontId="0" fillId="41" borderId="15" xfId="0" applyNumberFormat="1" applyFont="1" applyFill="1" applyBorder="1" applyAlignment="1">
      <alignment/>
    </xf>
    <xf numFmtId="0" fontId="5" fillId="43" borderId="15" xfId="0" applyFont="1" applyFill="1" applyBorder="1" applyAlignment="1">
      <alignment/>
    </xf>
    <xf numFmtId="0" fontId="5" fillId="41" borderId="15" xfId="0" applyFont="1" applyFill="1" applyBorder="1" applyAlignment="1">
      <alignment/>
    </xf>
    <xf numFmtId="39" fontId="0" fillId="41" borderId="15" xfId="0" applyNumberFormat="1" applyFont="1" applyFill="1" applyBorder="1" applyAlignment="1">
      <alignment/>
    </xf>
    <xf numFmtId="39" fontId="0" fillId="41" borderId="15" xfId="0" applyNumberFormat="1" applyFont="1" applyFill="1" applyBorder="1" applyAlignment="1" applyProtection="1">
      <alignment horizontal="center"/>
      <protection/>
    </xf>
    <xf numFmtId="10" fontId="0" fillId="40" borderId="15" xfId="0" applyNumberFormat="1" applyFont="1" applyFill="1" applyBorder="1" applyAlignment="1" applyProtection="1">
      <alignment horizontal="center"/>
      <protection/>
    </xf>
    <xf numFmtId="10" fontId="0" fillId="40" borderId="15" xfId="0" applyNumberFormat="1" applyFont="1" applyFill="1" applyBorder="1" applyAlignment="1" applyProtection="1">
      <alignment horizontal="center"/>
      <protection locked="0"/>
    </xf>
    <xf numFmtId="10" fontId="0" fillId="0" borderId="40" xfId="0" applyNumberFormat="1" applyFont="1" applyFill="1" applyBorder="1" applyAlignment="1">
      <alignment horizontal="center" wrapText="1"/>
    </xf>
    <xf numFmtId="171" fontId="0" fillId="0" borderId="15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5" fillId="34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0" fillId="0" borderId="34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8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1" fillId="33" borderId="0" xfId="0" applyFont="1" applyFill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8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8" fontId="29" fillId="36" borderId="0" xfId="0" applyNumberFormat="1" applyFont="1" applyFill="1" applyAlignment="1" applyProtection="1">
      <alignment horizontal="center" vertical="center" wrapText="1"/>
      <protection/>
    </xf>
    <xf numFmtId="0" fontId="0" fillId="37" borderId="0" xfId="0" applyFill="1" applyAlignment="1">
      <alignment horizontal="center" vertical="center" wrapText="1"/>
    </xf>
    <xf numFmtId="38" fontId="29" fillId="37" borderId="0" xfId="0" applyNumberFormat="1" applyFont="1" applyFill="1" applyAlignment="1" applyProtection="1">
      <alignment horizontal="center" vertical="center" wrapText="1"/>
      <protection/>
    </xf>
    <xf numFmtId="0" fontId="5" fillId="36" borderId="0" xfId="0" applyFont="1" applyFill="1" applyAlignment="1" applyProtection="1">
      <alignment horizontal="center" vertical="center" wrapText="1"/>
      <protection/>
    </xf>
    <xf numFmtId="0" fontId="29" fillId="36" borderId="20" xfId="0" applyFont="1" applyFill="1" applyBorder="1" applyAlignment="1" applyProtection="1">
      <alignment horizontal="center" vertical="center"/>
      <protection/>
    </xf>
    <xf numFmtId="0" fontId="5" fillId="37" borderId="20" xfId="0" applyFont="1" applyFill="1" applyBorder="1" applyAlignment="1">
      <alignment vertical="center"/>
    </xf>
    <xf numFmtId="49" fontId="29" fillId="35" borderId="16" xfId="0" applyNumberFormat="1" applyFont="1" applyFill="1" applyBorder="1" applyAlignment="1" applyProtection="1">
      <alignment horizontal="center" vertical="center" wrapText="1"/>
      <protection/>
    </xf>
    <xf numFmtId="0" fontId="29" fillId="35" borderId="18" xfId="0" applyFont="1" applyFill="1" applyBorder="1" applyAlignment="1" applyProtection="1">
      <alignment horizontal="center" vertical="center" wrapText="1"/>
      <protection/>
    </xf>
    <xf numFmtId="0" fontId="29" fillId="35" borderId="19" xfId="0" applyFont="1" applyFill="1" applyBorder="1" applyAlignment="1" applyProtection="1">
      <alignment horizontal="center" vertical="center" wrapText="1"/>
      <protection/>
    </xf>
    <xf numFmtId="38" fontId="29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29" fillId="35" borderId="0" xfId="0" applyNumberFormat="1" applyFont="1" applyFill="1" applyAlignment="1" applyProtection="1">
      <alignment horizontal="center" vertical="center" wrapText="1"/>
      <protection/>
    </xf>
    <xf numFmtId="0" fontId="6" fillId="37" borderId="20" xfId="0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29" fillId="35" borderId="19" xfId="63" applyNumberFormat="1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>
      <alignment wrapText="1"/>
    </xf>
    <xf numFmtId="0" fontId="0" fillId="35" borderId="33" xfId="0" applyFont="1" applyFill="1" applyBorder="1" applyAlignment="1">
      <alignment wrapText="1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0" fillId="35" borderId="46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38" fontId="14" fillId="0" borderId="41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38" fontId="16" fillId="0" borderId="41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6" fillId="0" borderId="0" xfId="0" applyFont="1" applyBorder="1" applyAlignment="1">
      <alignment horizontal="justify" wrapText="1"/>
    </xf>
    <xf numFmtId="181" fontId="16" fillId="0" borderId="0" xfId="0" applyNumberFormat="1" applyFont="1" applyBorder="1" applyAlignment="1">
      <alignment horizontal="right" wrapText="1"/>
    </xf>
    <xf numFmtId="0" fontId="6" fillId="35" borderId="26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justify" wrapText="1"/>
    </xf>
    <xf numFmtId="38" fontId="1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3" fontId="0" fillId="0" borderId="47" xfId="0" applyNumberFormat="1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171" fontId="0" fillId="0" borderId="15" xfId="0" applyNumberFormat="1" applyFont="1" applyFill="1" applyBorder="1" applyAlignment="1">
      <alignment horizontal="right" wrapText="1"/>
    </xf>
    <xf numFmtId="0" fontId="0" fillId="0" borderId="47" xfId="0" applyFont="1" applyFill="1" applyBorder="1" applyAlignment="1">
      <alignment wrapText="1"/>
    </xf>
    <xf numFmtId="0" fontId="5" fillId="35" borderId="47" xfId="0" applyFont="1" applyFill="1" applyBorder="1" applyAlignment="1">
      <alignment horizontal="center" wrapText="1"/>
    </xf>
    <xf numFmtId="0" fontId="5" fillId="35" borderId="49" xfId="0" applyFont="1" applyFill="1" applyBorder="1" applyAlignment="1">
      <alignment horizontal="center" wrapText="1"/>
    </xf>
    <xf numFmtId="0" fontId="5" fillId="35" borderId="48" xfId="0" applyFont="1" applyFill="1" applyBorder="1" applyAlignment="1">
      <alignment horizontal="center" wrapText="1"/>
    </xf>
    <xf numFmtId="171" fontId="0" fillId="35" borderId="50" xfId="0" applyNumberFormat="1" applyFont="1" applyFill="1" applyBorder="1" applyAlignment="1">
      <alignment horizontal="right" wrapText="1"/>
    </xf>
    <xf numFmtId="171" fontId="0" fillId="35" borderId="40" xfId="0" applyNumberFormat="1" applyFont="1" applyFill="1" applyBorder="1" applyAlignment="1">
      <alignment horizontal="right" wrapText="1"/>
    </xf>
    <xf numFmtId="171" fontId="0" fillId="35" borderId="17" xfId="0" applyNumberFormat="1" applyFont="1" applyFill="1" applyBorder="1" applyAlignment="1">
      <alignment horizontal="right" wrapText="1"/>
    </xf>
    <xf numFmtId="0" fontId="5" fillId="35" borderId="51" xfId="0" applyFont="1" applyFill="1" applyBorder="1" applyAlignment="1">
      <alignment horizontal="center" wrapText="1"/>
    </xf>
    <xf numFmtId="0" fontId="5" fillId="35" borderId="52" xfId="0" applyFont="1" applyFill="1" applyBorder="1" applyAlignment="1">
      <alignment horizontal="center" wrapText="1"/>
    </xf>
    <xf numFmtId="0" fontId="5" fillId="35" borderId="50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5" fillId="35" borderId="53" xfId="0" applyFont="1" applyFill="1" applyBorder="1" applyAlignment="1">
      <alignment horizontal="center" wrapText="1"/>
    </xf>
    <xf numFmtId="0" fontId="5" fillId="35" borderId="54" xfId="0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5" fillId="35" borderId="55" xfId="0" applyFont="1" applyFill="1" applyBorder="1" applyAlignment="1">
      <alignment horizontal="center" wrapText="1"/>
    </xf>
    <xf numFmtId="0" fontId="5" fillId="35" borderId="56" xfId="0" applyFont="1" applyFill="1" applyBorder="1" applyAlignment="1">
      <alignment horizontal="center" wrapText="1"/>
    </xf>
    <xf numFmtId="0" fontId="5" fillId="35" borderId="57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58" xfId="0" applyFont="1" applyFill="1" applyBorder="1" applyAlignment="1">
      <alignment horizontal="center" wrapText="1"/>
    </xf>
    <xf numFmtId="171" fontId="0" fillId="0" borderId="47" xfId="0" applyNumberFormat="1" applyFont="1" applyFill="1" applyBorder="1" applyAlignment="1">
      <alignment horizontal="center" wrapText="1"/>
    </xf>
    <xf numFmtId="171" fontId="0" fillId="0" borderId="49" xfId="0" applyNumberFormat="1" applyFont="1" applyFill="1" applyBorder="1" applyAlignment="1">
      <alignment horizontal="center" wrapText="1"/>
    </xf>
    <xf numFmtId="171" fontId="0" fillId="0" borderId="48" xfId="0" applyNumberFormat="1" applyFont="1" applyFill="1" applyBorder="1" applyAlignment="1">
      <alignment horizontal="center" wrapText="1"/>
    </xf>
    <xf numFmtId="171" fontId="0" fillId="0" borderId="59" xfId="0" applyNumberFormat="1" applyFont="1" applyFill="1" applyBorder="1" applyAlignment="1">
      <alignment wrapText="1"/>
    </xf>
    <xf numFmtId="171" fontId="0" fillId="0" borderId="60" xfId="0" applyNumberFormat="1" applyFont="1" applyFill="1" applyBorder="1" applyAlignment="1">
      <alignment wrapText="1"/>
    </xf>
    <xf numFmtId="171" fontId="0" fillId="0" borderId="61" xfId="0" applyNumberFormat="1" applyFont="1" applyFill="1" applyBorder="1" applyAlignment="1">
      <alignment wrapText="1"/>
    </xf>
    <xf numFmtId="171" fontId="0" fillId="0" borderId="62" xfId="0" applyNumberFormat="1" applyFont="1" applyFill="1" applyBorder="1" applyAlignment="1">
      <alignment horizontal="center" wrapText="1"/>
    </xf>
    <xf numFmtId="171" fontId="0" fillId="0" borderId="19" xfId="0" applyNumberFormat="1" applyFont="1" applyFill="1" applyBorder="1" applyAlignment="1">
      <alignment horizontal="center" wrapText="1"/>
    </xf>
    <xf numFmtId="171" fontId="0" fillId="0" borderId="33" xfId="0" applyNumberFormat="1" applyFont="1" applyFill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66675</xdr:rowOff>
    </xdr:from>
    <xdr:to>
      <xdr:col>6</xdr:col>
      <xdr:colOff>933450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3086100"/>
          <a:ext cx="9067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origem/espécie/rubrica de receita e/ou grupo de natureza de despesa.</a:t>
          </a:r>
        </a:p>
      </xdr:txBody>
    </xdr:sp>
    <xdr:clientData/>
  </xdr:twoCellAnchor>
  <xdr:twoCellAnchor>
    <xdr:from>
      <xdr:col>0</xdr:col>
      <xdr:colOff>1971675</xdr:colOff>
      <xdr:row>26</xdr:row>
      <xdr:rowOff>0</xdr:rowOff>
    </xdr:from>
    <xdr:to>
      <xdr:col>6</xdr:col>
      <xdr:colOff>314325</xdr:colOff>
      <xdr:row>26</xdr:row>
      <xdr:rowOff>0</xdr:rowOff>
    </xdr:to>
    <xdr:sp>
      <xdr:nvSpPr>
        <xdr:cNvPr id="2" name="Line 6"/>
        <xdr:cNvSpPr>
          <a:spLocks/>
        </xdr:cNvSpPr>
      </xdr:nvSpPr>
      <xdr:spPr>
        <a:xfrm>
          <a:off x="1971675" y="3476625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667750" y="3476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27</xdr:row>
      <xdr:rowOff>76200</xdr:rowOff>
    </xdr:from>
    <xdr:to>
      <xdr:col>6</xdr:col>
      <xdr:colOff>47625</xdr:colOff>
      <xdr:row>66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04800" y="5553075"/>
          <a:ext cx="5791200" cy="633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2º, inciso V da LRF.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 concessão de incentivos fiscais é um instrumento que serve para fomentar o desenvolvimento econômico do Município, atraindo novas empresas ou ampliando as já existentes, de modo a gerar novos empregos e aumentar a renda per capita da população. Já os benefícios fiscais se prestam para reduzir as desigualdades sociais, desonerando determinados segmentos da sociedade do pagamento de alguns tributos, como é o caso da isenção de iptu para os aposentados de baixa renda. Diante disso pode-se afirmar que, com a devida responsabilidade, é salutar o uso desses instrumentos que tem objetivos econômicos e sociais.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O tema é destacado pela Lei de Responsabilidade Fiscal (LRF) que disciplinou a sua aplicação. Como sabido,  os entes da federação têm usado esses institutos como forma de controle dos desequilíbrios econômicos e sociais, e, por isso é tratado em todo o arcabouço jurídico brasileiro: constitucional, legal e infralegal. 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 Constituição Federal em seus artigos 70 e 165,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6º, estabelece o controle sobre as renúncias de receita, com o nítido objetivo de promover o equilíbrio fiscal.  Por sua vez, a LRF estabeleceu em seu artigo 11 a necessidade de instituição, previsão e efetiva arrecadação de todos os tributos de competência constitucional dos entes da Federação, como requisito essencial da responsabilidade na gestão fiscal.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Nesse contexto, e conforme as diretrizes estabelecidas pelos arts. 13, 57 e 59 do Projeto de Lei das Diretrizes Orçamentárias, a estimativa de renúncia de receita deverá estar inserida na metodologia de cálculo da projeção da arrecadação efetiva dos tributos municipais.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Dessa forma, fica evidenciado que a Administração opta pela medida de compensação prevista no art. 14, I, da LRF, o qual determina que a renúncia deve ser considerada na estimativa de receita da lei orçamentária e de que não afetará as metas de resultados fiscais. Consequentemente, as renúncias contempladas nesse demonstrativo não precisarão ser compensadas pelo </a:t>
          </a:r>
          <a:r>
            <a:rPr lang="en-US" cap="none" sz="1100" b="0" i="1" u="none" baseline="0">
              <a:solidFill>
                <a:srgbClr val="000000"/>
              </a:solidFill>
            </a:rPr>
            <a:t>aumento de receita, proveniente da elevação de alíquotas, ampliação da base de cálculo, majoração ou criação de tributo ou contribuição</a:t>
          </a:r>
          <a:r>
            <a:rPr lang="en-US" cap="none" sz="1100" b="0" i="0" u="none" baseline="0">
              <a:solidFill>
                <a:srgbClr val="000000"/>
              </a:solidFill>
            </a:rPr>
            <a:t>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85725</xdr:rowOff>
    </xdr:from>
    <xdr:to>
      <xdr:col>1</xdr:col>
      <xdr:colOff>2847975</xdr:colOff>
      <xdr:row>45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23825" y="4876800"/>
          <a:ext cx="64293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Desse modo, para estimar o aumento permanente das receitas em 2020 considerou-se o incremento real, ou seja, a diferença entre os valores estimados a preços constantes das receitas  trbutárias e de transferências correntes, no biênio 2019-2020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mesma linha, o aumento permandente das despesas de caráter obrigatório que terão impacto em 2020, foi calculado pela diferença a valores constantes, observada no biênio 2019-2020 nos grupos de natureza de despesa "Pessoal" e "Outras Despesas Correntes", chegando-se, assim, ao saldo da margem líquida de expansão.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necessário, a  Margem Líquida de Expansão acima demonstrada, será utilizada, pelo Poder Executivo, como forma de compensação do aumento das despesas obrigatórias de caráter continuado não previstas no orçamento, observado o disposto no art. 16 da LDO.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76200</xdr:rowOff>
    </xdr:from>
    <xdr:to>
      <xdr:col>3</xdr:col>
      <xdr:colOff>876300</xdr:colOff>
      <xdr:row>29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80975" y="5705475"/>
          <a:ext cx="67913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3º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6"/>
  <sheetViews>
    <sheetView showGridLines="0" zoomScale="120" zoomScaleNormal="120" zoomScaleSheetLayoutView="70" zoomScalePageLayoutView="0" workbookViewId="0" topLeftCell="A7">
      <selection activeCell="A8" sqref="A8:J8"/>
    </sheetView>
  </sheetViews>
  <sheetFormatPr defaultColWidth="8.8515625" defaultRowHeight="12.75"/>
  <cols>
    <col min="1" max="1" width="53.57421875" style="29" customWidth="1"/>
    <col min="2" max="2" width="13.8515625" style="29" customWidth="1"/>
    <col min="3" max="3" width="13.57421875" style="29" customWidth="1"/>
    <col min="4" max="4" width="13.00390625" style="29" customWidth="1"/>
    <col min="5" max="5" width="14.57421875" style="29" customWidth="1"/>
    <col min="6" max="6" width="15.8515625" style="29" customWidth="1"/>
    <col min="7" max="7" width="15.140625" style="29" customWidth="1"/>
    <col min="8" max="16384" width="8.8515625" style="29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219" t="s">
        <v>374</v>
      </c>
      <c r="B7" s="220"/>
      <c r="C7" s="220"/>
      <c r="D7" s="220"/>
      <c r="E7" s="220"/>
      <c r="F7" s="220"/>
      <c r="G7" s="220"/>
      <c r="H7" s="220"/>
      <c r="I7" s="220"/>
      <c r="J7" s="221"/>
    </row>
    <row r="8" spans="1:10" ht="12">
      <c r="A8" s="222" t="s">
        <v>394</v>
      </c>
      <c r="B8" s="220"/>
      <c r="C8" s="220"/>
      <c r="D8" s="220"/>
      <c r="E8" s="220"/>
      <c r="F8" s="220"/>
      <c r="G8" s="220"/>
      <c r="H8" s="220"/>
      <c r="I8" s="220"/>
      <c r="J8" s="221"/>
    </row>
    <row r="9" spans="1:10" ht="21" customHeight="1">
      <c r="A9" s="223" t="s">
        <v>377</v>
      </c>
      <c r="B9" s="224"/>
      <c r="C9" s="224"/>
      <c r="D9" s="224"/>
      <c r="E9" s="224"/>
      <c r="F9" s="224"/>
      <c r="G9" s="224"/>
      <c r="H9" s="225"/>
      <c r="I9" s="225"/>
      <c r="J9" s="226"/>
    </row>
    <row r="10" spans="1:10" ht="25.5" customHeight="1">
      <c r="A10" s="199" t="s">
        <v>319</v>
      </c>
      <c r="B10" s="199">
        <v>2017</v>
      </c>
      <c r="C10" s="199">
        <f>B10+1</f>
        <v>2018</v>
      </c>
      <c r="D10" s="199">
        <f>C10+1</f>
        <v>2019</v>
      </c>
      <c r="E10" s="199">
        <f>D10+1</f>
        <v>2020</v>
      </c>
      <c r="F10" s="199">
        <f>E10+1</f>
        <v>2021</v>
      </c>
      <c r="G10" s="199">
        <f>F10+1</f>
        <v>2022</v>
      </c>
      <c r="H10" s="30"/>
      <c r="I10" s="30"/>
      <c r="J10" s="30"/>
    </row>
    <row r="11" spans="1:7" ht="12.75">
      <c r="A11" s="200" t="s">
        <v>61</v>
      </c>
      <c r="B11" s="201">
        <v>0.0295</v>
      </c>
      <c r="C11" s="202">
        <v>0.0374</v>
      </c>
      <c r="D11" s="202">
        <v>0.0382</v>
      </c>
      <c r="E11" s="209">
        <v>0.039</v>
      </c>
      <c r="F11" s="209">
        <v>0.038</v>
      </c>
      <c r="G11" s="209">
        <v>0.037</v>
      </c>
    </row>
    <row r="12" spans="1:7" ht="12.75">
      <c r="A12" s="200" t="s">
        <v>62</v>
      </c>
      <c r="B12" s="201">
        <v>0.01</v>
      </c>
      <c r="C12" s="202">
        <v>0.011</v>
      </c>
      <c r="D12" s="202">
        <v>0.009</v>
      </c>
      <c r="E12" s="209">
        <v>0.0226</v>
      </c>
      <c r="F12" s="209">
        <v>0.0252</v>
      </c>
      <c r="G12" s="209">
        <v>0.0248</v>
      </c>
    </row>
    <row r="13" spans="1:7" ht="12.75">
      <c r="A13" s="203" t="s">
        <v>63</v>
      </c>
      <c r="B13" s="204">
        <f>IF(Projeções!C114=0,"-",((Projeções!D114/Projeções!C114)-1)-B11-B18)</f>
        <v>0.03698521637622529</v>
      </c>
      <c r="C13" s="204">
        <f>IF(Projeções!D114=0,"-",((Projeções!E114/Projeções!D114)-1)-C11-C18)</f>
        <v>0.029496289768791026</v>
      </c>
      <c r="D13" s="204">
        <f>IF(Projeções!E114=0,"-",((Projeções!F114/Projeções!E114)-1)-D11-D18)</f>
        <v>-0.022011388547369823</v>
      </c>
      <c r="E13" s="202">
        <f aca="true" t="shared" si="0" ref="E13:G20">(B13+C13+D13)/3</f>
        <v>0.014823372532548831</v>
      </c>
      <c r="F13" s="202">
        <f t="shared" si="0"/>
        <v>0.0074360912513233455</v>
      </c>
      <c r="G13" s="202">
        <f t="shared" si="0"/>
        <v>8.269174550078456E-05</v>
      </c>
    </row>
    <row r="14" spans="1:7" ht="12.75">
      <c r="A14" s="205" t="s">
        <v>64</v>
      </c>
      <c r="B14" s="204">
        <f>IF(Projeções!C124=0,"-",((Projeções!D124/Projeções!C124)-1)-B11-B12)</f>
        <v>0.020284139329308594</v>
      </c>
      <c r="C14" s="204">
        <f>IF(Projeções!D124=0,"-",((Projeções!E124/Projeções!D124)-1)-C11-C12)</f>
        <v>0.05541252805725305</v>
      </c>
      <c r="D14" s="204">
        <f>IF(Projeções!E124=0,"-",((Projeções!F124/Projeções!E124)-1)-D11-D12)</f>
        <v>-0.11059848365439204</v>
      </c>
      <c r="E14" s="202">
        <f t="shared" si="0"/>
        <v>-0.011633938755943466</v>
      </c>
      <c r="F14" s="202">
        <f t="shared" si="0"/>
        <v>-0.022273298117694153</v>
      </c>
      <c r="G14" s="202">
        <f t="shared" si="0"/>
        <v>-0.04816857350934322</v>
      </c>
    </row>
    <row r="15" spans="1:7" ht="12.75">
      <c r="A15" s="205" t="s">
        <v>65</v>
      </c>
      <c r="B15" s="204">
        <f>IF(Projeções!C9=0,"-",((Projeções!D9/Projeções!C9)-1)-B11-B12)</f>
        <v>0.5232757244993961</v>
      </c>
      <c r="C15" s="204">
        <f>IF(Projeções!D9=0,"-",((Projeções!E9/Projeções!D9)-1)-C11-C12)</f>
        <v>-0.22272019483795324</v>
      </c>
      <c r="D15" s="204">
        <f>IF(Projeções!E9=0,"-",((Projeções!F9/Projeções!E9)-1)-D11-D12)</f>
        <v>-0.1800159945422568</v>
      </c>
      <c r="E15" s="202">
        <f t="shared" si="0"/>
        <v>0.04017984503972868</v>
      </c>
      <c r="F15" s="202">
        <f t="shared" si="0"/>
        <v>-0.12085211478016046</v>
      </c>
      <c r="G15" s="202">
        <f t="shared" si="0"/>
        <v>-0.08689608809422954</v>
      </c>
    </row>
    <row r="16" spans="1:7" ht="12.75">
      <c r="A16" s="205" t="s">
        <v>285</v>
      </c>
      <c r="B16" s="204">
        <f>IF(Projeções!C40=0,"-",((Projeções!D40/Projeções!C40)-1)-B11-B12)</f>
        <v>-0.07535627694023951</v>
      </c>
      <c r="C16" s="204">
        <f>IF(Projeções!D40=0,"-",((Projeções!E40/Projeções!D40)-1)-C11-C12)</f>
        <v>0.04132117054168627</v>
      </c>
      <c r="D16" s="204">
        <f>IF(Projeções!E40=0,"-",((Projeções!F40/Projeções!E40)-1)-D11-D12)</f>
        <v>0.02157104797327327</v>
      </c>
      <c r="E16" s="202">
        <f t="shared" si="0"/>
        <v>-0.00415468614175999</v>
      </c>
      <c r="F16" s="202">
        <f t="shared" si="0"/>
        <v>0.019579177457733184</v>
      </c>
      <c r="G16" s="202">
        <f t="shared" si="0"/>
        <v>0.012331846429748822</v>
      </c>
    </row>
    <row r="17" spans="1:7" ht="12.75">
      <c r="A17" s="205" t="s">
        <v>286</v>
      </c>
      <c r="B17" s="204">
        <f>IF(Projeções!C51=0,"-",((Projeções!D51/Projeções!C51)-1)-B11-B12)</f>
        <v>0.018456973175487203</v>
      </c>
      <c r="C17" s="204">
        <f>IF(Projeções!D51=0,"-",((Projeções!E51/Projeções!D51)-1)-C11-C12)</f>
        <v>0.0628835522468334</v>
      </c>
      <c r="D17" s="204">
        <f>IF(Projeções!E51=0,"-",((Projeções!F51/Projeções!E51)-1)-D11-D12)</f>
        <v>0.06147667419893956</v>
      </c>
      <c r="E17" s="202">
        <f t="shared" si="0"/>
        <v>0.04760573320708672</v>
      </c>
      <c r="F17" s="202">
        <f t="shared" si="0"/>
        <v>0.057321986550953226</v>
      </c>
      <c r="G17" s="202">
        <f t="shared" si="0"/>
        <v>0.05546813131899317</v>
      </c>
    </row>
    <row r="18" spans="1:7" ht="12.75">
      <c r="A18" s="200" t="s">
        <v>287</v>
      </c>
      <c r="B18" s="210">
        <v>0</v>
      </c>
      <c r="C18" s="210">
        <v>0</v>
      </c>
      <c r="D18" s="210">
        <v>0</v>
      </c>
      <c r="E18" s="209">
        <v>0</v>
      </c>
      <c r="F18" s="209">
        <v>0</v>
      </c>
      <c r="G18" s="209">
        <v>0</v>
      </c>
    </row>
    <row r="19" spans="1:7" ht="12.75">
      <c r="A19" s="200" t="s">
        <v>288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</row>
    <row r="20" spans="1:7" ht="12.75">
      <c r="A20" s="206" t="s">
        <v>71</v>
      </c>
      <c r="B20" s="204">
        <f>IF(Projeções!C130=0,"-",((Projeções!D130/Projeções!C130)-1)-B11-B12)</f>
        <v>0.21712000815116825</v>
      </c>
      <c r="C20" s="204">
        <f>IF(Projeções!D130=0,"-",((Projeções!E130/Projeções!D130)-1)-C11-C12)</f>
        <v>-0.43779645324526306</v>
      </c>
      <c r="D20" s="204">
        <f>IF(Projeções!E130=0,"-",((Projeções!F130/Projeções!E130)-1)-D11-D12)</f>
        <v>0.08429977836231131</v>
      </c>
      <c r="E20" s="202">
        <f t="shared" si="0"/>
        <v>-0.0454588889105945</v>
      </c>
      <c r="F20" s="202">
        <f t="shared" si="0"/>
        <v>-0.1329851879311821</v>
      </c>
      <c r="G20" s="202">
        <f t="shared" si="0"/>
        <v>-0.03138143282648843</v>
      </c>
    </row>
    <row r="21" spans="1:7" ht="12.75">
      <c r="A21" s="206" t="s">
        <v>114</v>
      </c>
      <c r="B21" s="204">
        <v>0.1011</v>
      </c>
      <c r="C21" s="204">
        <v>0.0658</v>
      </c>
      <c r="D21" s="202">
        <v>0.0623</v>
      </c>
      <c r="E21" s="209">
        <v>0.06</v>
      </c>
      <c r="F21" s="209">
        <v>0.0762</v>
      </c>
      <c r="G21" s="209">
        <v>0.0722</v>
      </c>
    </row>
    <row r="22" spans="1:7" ht="12.75">
      <c r="A22" s="206" t="s">
        <v>337</v>
      </c>
      <c r="B22" s="207">
        <v>3.29</v>
      </c>
      <c r="C22" s="207">
        <v>3.88</v>
      </c>
      <c r="D22" s="208">
        <v>3.81</v>
      </c>
      <c r="E22" s="198">
        <v>3.78</v>
      </c>
      <c r="F22" s="198">
        <v>3.81</v>
      </c>
      <c r="G22" s="198">
        <v>3.85</v>
      </c>
    </row>
    <row r="23" spans="1:7" ht="14.25">
      <c r="A23" s="38"/>
      <c r="B23" s="38"/>
      <c r="C23" s="13"/>
      <c r="D23" s="13"/>
      <c r="E23" s="13"/>
      <c r="F23" s="13"/>
      <c r="G23" s="13"/>
    </row>
    <row r="24" spans="1:7" ht="12">
      <c r="A24" s="217"/>
      <c r="B24" s="218"/>
      <c r="C24" s="218"/>
      <c r="D24" s="218"/>
      <c r="E24" s="218"/>
      <c r="F24" s="218"/>
      <c r="G24" s="218"/>
    </row>
    <row r="25" spans="1:8" ht="12">
      <c r="A25" s="218"/>
      <c r="B25" s="218"/>
      <c r="C25" s="218"/>
      <c r="D25" s="218"/>
      <c r="E25" s="218"/>
      <c r="F25" s="218"/>
      <c r="G25" s="218"/>
      <c r="H25" s="33"/>
    </row>
    <row r="26" spans="1:8" ht="12">
      <c r="A26" s="218"/>
      <c r="B26" s="218"/>
      <c r="C26" s="218"/>
      <c r="D26" s="218"/>
      <c r="E26" s="218"/>
      <c r="F26" s="218"/>
      <c r="G26" s="218"/>
      <c r="H26" s="33"/>
    </row>
  </sheetData>
  <sheetProtection/>
  <mergeCells count="4">
    <mergeCell ref="A24:G26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600" verticalDpi="600" orientation="landscape" paperSize="9" scale="7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05"/>
  <sheetViews>
    <sheetView zoomScale="88" zoomScaleNormal="88" zoomScaleSheetLayoutView="30" workbookViewId="0" topLeftCell="A106">
      <selection activeCell="A107" sqref="A107:I147"/>
    </sheetView>
  </sheetViews>
  <sheetFormatPr defaultColWidth="19.140625" defaultRowHeight="12.75"/>
  <cols>
    <col min="1" max="1" width="27.7109375" style="4" customWidth="1"/>
    <col min="2" max="2" width="62.57421875" style="4" customWidth="1"/>
    <col min="3" max="6" width="20.7109375" style="4" customWidth="1"/>
    <col min="7" max="7" width="22.421875" style="4" customWidth="1"/>
    <col min="8" max="8" width="22.8515625" style="4" customWidth="1"/>
    <col min="9" max="9" width="23.00390625" style="4" customWidth="1"/>
    <col min="10" max="177" width="19.140625" style="65" customWidth="1"/>
    <col min="178" max="16384" width="19.140625" style="4" customWidth="1"/>
  </cols>
  <sheetData>
    <row r="1" spans="1:177" s="2" customFormat="1" ht="17.25" customHeight="1">
      <c r="A1" s="228" t="str">
        <f>Parâmetros!A7</f>
        <v>Município de : JACUIZINHO RS</v>
      </c>
      <c r="B1" s="229"/>
      <c r="C1" s="229"/>
      <c r="D1" s="229"/>
      <c r="E1" s="229"/>
      <c r="F1" s="229"/>
      <c r="G1" s="229"/>
      <c r="H1" s="229"/>
      <c r="I1" s="229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</row>
    <row r="2" spans="1:177" s="2" customFormat="1" ht="30" customHeight="1">
      <c r="A2" s="230" t="str">
        <f>Parâmetros!A8</f>
        <v>LEI ORÇAMENTÁRIA PARA 2020</v>
      </c>
      <c r="B2" s="229"/>
      <c r="C2" s="229"/>
      <c r="D2" s="229"/>
      <c r="E2" s="229"/>
      <c r="F2" s="229"/>
      <c r="G2" s="229"/>
      <c r="H2" s="229"/>
      <c r="I2" s="229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</row>
    <row r="3" spans="1:177" s="2" customFormat="1" ht="19.5" customHeight="1">
      <c r="A3" s="231" t="s">
        <v>376</v>
      </c>
      <c r="B3" s="232"/>
      <c r="C3" s="232"/>
      <c r="D3" s="232"/>
      <c r="E3" s="232"/>
      <c r="F3" s="232"/>
      <c r="G3" s="232"/>
      <c r="H3" s="232"/>
      <c r="I3" s="23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</row>
    <row r="4" spans="1:177" s="2" customFormat="1" ht="15.75" hidden="1">
      <c r="A4" s="14"/>
      <c r="B4" s="15"/>
      <c r="C4" s="15"/>
      <c r="D4" s="15"/>
      <c r="E4" s="15"/>
      <c r="F4" s="15"/>
      <c r="G4" s="15"/>
      <c r="H4" s="15"/>
      <c r="I4" s="1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</row>
    <row r="5" spans="1:177" s="2" customFormat="1" ht="15.75">
      <c r="A5" s="16"/>
      <c r="B5" s="17"/>
      <c r="C5" s="17"/>
      <c r="D5" s="17"/>
      <c r="E5" s="17"/>
      <c r="F5" s="17"/>
      <c r="G5" s="17"/>
      <c r="H5" s="17"/>
      <c r="I5" s="18" t="s">
        <v>44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</row>
    <row r="6" spans="1:177" s="1" customFormat="1" ht="15.75">
      <c r="A6" s="98"/>
      <c r="B6" s="99" t="s">
        <v>0</v>
      </c>
      <c r="C6" s="100" t="s">
        <v>115</v>
      </c>
      <c r="D6" s="100" t="s">
        <v>115</v>
      </c>
      <c r="E6" s="100" t="s">
        <v>115</v>
      </c>
      <c r="F6" s="101" t="s">
        <v>59</v>
      </c>
      <c r="G6" s="101" t="s">
        <v>9</v>
      </c>
      <c r="H6" s="102" t="s">
        <v>9</v>
      </c>
      <c r="I6" s="103" t="s">
        <v>9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</row>
    <row r="7" spans="1:177" s="1" customFormat="1" ht="27.75" customHeight="1">
      <c r="A7" s="104"/>
      <c r="B7" s="105" t="s">
        <v>7</v>
      </c>
      <c r="C7" s="106">
        <f>Parâmetros!B10-1</f>
        <v>2016</v>
      </c>
      <c r="D7" s="107">
        <f aca="true" t="shared" si="0" ref="D7:I7">C7+1</f>
        <v>2017</v>
      </c>
      <c r="E7" s="107">
        <f t="shared" si="0"/>
        <v>2018</v>
      </c>
      <c r="F7" s="107">
        <f t="shared" si="0"/>
        <v>2019</v>
      </c>
      <c r="G7" s="107">
        <f t="shared" si="0"/>
        <v>2020</v>
      </c>
      <c r="H7" s="107">
        <f t="shared" si="0"/>
        <v>2021</v>
      </c>
      <c r="I7" s="107">
        <f t="shared" si="0"/>
        <v>2022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</row>
    <row r="8" spans="1:177" s="48" customFormat="1" ht="17.25" customHeight="1">
      <c r="A8" s="108" t="s">
        <v>116</v>
      </c>
      <c r="B8" s="109" t="s">
        <v>117</v>
      </c>
      <c r="C8" s="110">
        <f aca="true" t="shared" si="1" ref="C8:I8">C9+C15+C23+C34+C35+C36+C39+C66</f>
        <v>14925417.410000004</v>
      </c>
      <c r="D8" s="110">
        <f t="shared" si="1"/>
        <v>15084451.010000002</v>
      </c>
      <c r="E8" s="110">
        <f t="shared" si="1"/>
        <v>16181965.710000003</v>
      </c>
      <c r="F8" s="110">
        <f t="shared" si="1"/>
        <v>17370441.099999998</v>
      </c>
      <c r="G8" s="110">
        <f t="shared" si="1"/>
        <v>18297741.50320357</v>
      </c>
      <c r="H8" s="110">
        <f t="shared" si="1"/>
        <v>19442646.870222267</v>
      </c>
      <c r="I8" s="110">
        <f t="shared" si="1"/>
        <v>20573657.431534126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</row>
    <row r="9" spans="1:177" s="8" customFormat="1" ht="12.75">
      <c r="A9" s="111" t="s">
        <v>118</v>
      </c>
      <c r="B9" s="112" t="s">
        <v>119</v>
      </c>
      <c r="C9" s="113">
        <f aca="true" t="shared" si="2" ref="C9:I9">C10+C11+C12+C13+C14</f>
        <v>355991.67000000004</v>
      </c>
      <c r="D9" s="113">
        <f t="shared" si="2"/>
        <v>556335.14</v>
      </c>
      <c r="E9" s="113">
        <f t="shared" si="2"/>
        <v>459354.69</v>
      </c>
      <c r="F9" s="113">
        <f t="shared" si="2"/>
        <v>398345.0399999999</v>
      </c>
      <c r="G9" s="113">
        <f t="shared" si="2"/>
        <v>549439.0835985555</v>
      </c>
      <c r="H9" s="113">
        <f t="shared" si="2"/>
        <v>501393.66032210307</v>
      </c>
      <c r="I9" s="113">
        <f t="shared" si="2"/>
        <v>474764.01961272536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</row>
    <row r="10" spans="1:177" s="8" customFormat="1" ht="25.5">
      <c r="A10" s="114" t="s">
        <v>297</v>
      </c>
      <c r="B10" s="115" t="s">
        <v>300</v>
      </c>
      <c r="C10" s="45">
        <v>115629.35</v>
      </c>
      <c r="D10" s="45">
        <v>113638.04</v>
      </c>
      <c r="E10" s="45">
        <v>137644.5</v>
      </c>
      <c r="F10" s="45">
        <v>136737</v>
      </c>
      <c r="G10" s="116">
        <f>(((D10*(1+Parâmetros!B11)*(1+Parâmetros!C11)*(1+Parâmetros!D11))+(E10*(1+Parâmetros!C11)*(1+Parâmetros!D11)+(F10*(1+Parâmetros!D11))))/3)*(1+Parâmetros!E11)*(1+Parâmetros!E15)</f>
        <v>149939.00162141738</v>
      </c>
      <c r="H10" s="116">
        <f>G10*(1+Parâmetros!F11)*(1+Parâmetros!F15)</f>
        <v>136827.661322566</v>
      </c>
      <c r="I10" s="116">
        <f>H10*(1+Parâmetros!G11)*(1+Parâmetros!G15)</f>
        <v>129560.57410454337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</row>
    <row r="11" spans="1:177" s="8" customFormat="1" ht="12.75">
      <c r="A11" s="114" t="s">
        <v>298</v>
      </c>
      <c r="B11" s="115" t="s">
        <v>301</v>
      </c>
      <c r="C11" s="45">
        <v>3818.94</v>
      </c>
      <c r="D11" s="45">
        <v>9599.69</v>
      </c>
      <c r="E11" s="45">
        <v>3535.82</v>
      </c>
      <c r="F11" s="45">
        <v>2948.52</v>
      </c>
      <c r="G11" s="116">
        <f>(((D11*(1+Parâmetros!B11)*(1+Parâmetros!C11)*(1+Parâmetros!D11))+(E11*(1+Parâmetros!C11)*(1+Parâmetros!D11)+(F11*(1+Parâmetros!D11))))/3)*(1+Parâmetros!E11)*(1+Parâmetros!E15)</f>
        <v>6309.2125210921</v>
      </c>
      <c r="H11" s="116">
        <f>G11*(1+Parâmetros!F11)*(1+Parâmetros!F15)</f>
        <v>5757.5066174428375</v>
      </c>
      <c r="I11" s="116">
        <f>H11*(1+Parâmetros!G11)*(1+Parâmetros!G15)</f>
        <v>5451.7182823732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</row>
    <row r="12" spans="1:177" s="8" customFormat="1" ht="12.75">
      <c r="A12" s="114" t="s">
        <v>120</v>
      </c>
      <c r="B12" s="115" t="s">
        <v>299</v>
      </c>
      <c r="C12" s="45">
        <v>212091.17</v>
      </c>
      <c r="D12" s="45">
        <v>403817.86</v>
      </c>
      <c r="E12" s="45">
        <v>296245.39</v>
      </c>
      <c r="F12" s="45">
        <v>233449.8</v>
      </c>
      <c r="G12" s="116">
        <f>(((D12*(1+Parâmetros!B11)*(1+Parâmetros!C11)*(1+Parâmetros!D11))+(E12*(1+Parâmetros!C11)*(1+Parâmetros!D11)+(F12*(1+Parâmetros!D11))))/3)*(1+Parâmetros!E11)*(1+Parâmetros!E15)</f>
        <v>363558.2075244579</v>
      </c>
      <c r="H12" s="116">
        <f>G12*(1+Parâmetros!F11)*(1+Parâmetros!F15)</f>
        <v>331767.04361282155</v>
      </c>
      <c r="I12" s="116">
        <f>H12*(1+Parâmetros!G11)*(1+Parâmetros!G15)</f>
        <v>314146.483422758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</row>
    <row r="13" spans="1:177" s="8" customFormat="1" ht="12" customHeight="1">
      <c r="A13" s="114" t="s">
        <v>121</v>
      </c>
      <c r="B13" s="115" t="s">
        <v>122</v>
      </c>
      <c r="C13" s="45">
        <v>24452.21</v>
      </c>
      <c r="D13" s="45">
        <v>29279.55</v>
      </c>
      <c r="E13" s="45">
        <v>21928.98</v>
      </c>
      <c r="F13" s="45">
        <v>25209.72</v>
      </c>
      <c r="G13" s="116">
        <f>(((D13*(1+Parâmetros!B11)*(1+Parâmetros!C11)*(1+Parâmetros!D11))+(E13*(1+Parâmetros!C11)*(1+Parâmetros!D11)+(F13*(1+Parâmetros!D11))))/3)*(1+Parâmetros!E11)*(1+Parâmetros!E15)</f>
        <v>29632.6619315882</v>
      </c>
      <c r="H13" s="116">
        <f>G13*(1+Parâmetros!F11)*(1+Parâmetros!F15)</f>
        <v>27041.448769272643</v>
      </c>
      <c r="I13" s="116">
        <f>H13*(1+Parâmetros!G11)*(1+Parâmetros!G15)</f>
        <v>25605.24380305076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</row>
    <row r="14" spans="1:177" s="8" customFormat="1" ht="12.75">
      <c r="A14" s="114" t="s">
        <v>123</v>
      </c>
      <c r="B14" s="115" t="s">
        <v>124</v>
      </c>
      <c r="C14" s="45">
        <v>0</v>
      </c>
      <c r="D14" s="45">
        <v>0</v>
      </c>
      <c r="E14" s="45">
        <v>0</v>
      </c>
      <c r="F14" s="45">
        <v>0</v>
      </c>
      <c r="G14" s="116">
        <f>(((D14*(1+Parâmetros!B11)*(1+Parâmetros!C11)*(1+Parâmetros!D11))+(E14*(1+Parâmetros!C11)*(1+Parâmetros!D11)+(F14*(1+Parâmetros!D11))))/3)*(1+Parâmetros!E11)*(1+Parâmetros!E15)</f>
        <v>0</v>
      </c>
      <c r="H14" s="116">
        <f>G14*(1+Parâmetros!F11)*(1+Parâmetros!F15)</f>
        <v>0</v>
      </c>
      <c r="I14" s="116">
        <f>H14*(1+Parâmetros!G11)*(1+Parâmetros!G15)</f>
        <v>0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</row>
    <row r="15" spans="1:177" ht="12.75">
      <c r="A15" s="111" t="s">
        <v>125</v>
      </c>
      <c r="B15" s="112" t="s">
        <v>126</v>
      </c>
      <c r="C15" s="113">
        <f aca="true" t="shared" si="3" ref="C15:I15">C16+C21+C22</f>
        <v>18290.7</v>
      </c>
      <c r="D15" s="113">
        <f t="shared" si="3"/>
        <v>20016.79</v>
      </c>
      <c r="E15" s="113">
        <f t="shared" si="3"/>
        <v>23122.01</v>
      </c>
      <c r="F15" s="113">
        <f t="shared" si="3"/>
        <v>26140.8</v>
      </c>
      <c r="G15" s="113">
        <f t="shared" si="3"/>
        <v>26291.84022829869</v>
      </c>
      <c r="H15" s="113">
        <f t="shared" si="3"/>
        <v>27978.661596929785</v>
      </c>
      <c r="I15" s="113">
        <f t="shared" si="3"/>
        <v>29733.416103501386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</row>
    <row r="16" spans="1:177" ht="12.75">
      <c r="A16" s="111" t="s">
        <v>127</v>
      </c>
      <c r="B16" s="112" t="s">
        <v>128</v>
      </c>
      <c r="C16" s="113">
        <f aca="true" t="shared" si="4" ref="C16:I16">C17+C18+C19+C20</f>
        <v>0</v>
      </c>
      <c r="D16" s="113">
        <f t="shared" si="4"/>
        <v>0</v>
      </c>
      <c r="E16" s="113">
        <f t="shared" si="4"/>
        <v>0</v>
      </c>
      <c r="F16" s="113">
        <f t="shared" si="4"/>
        <v>0</v>
      </c>
      <c r="G16" s="113">
        <f t="shared" si="4"/>
        <v>0</v>
      </c>
      <c r="H16" s="113">
        <f t="shared" si="4"/>
        <v>0</v>
      </c>
      <c r="I16" s="113">
        <f t="shared" si="4"/>
        <v>0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</row>
    <row r="17" spans="1:177" ht="25.5">
      <c r="A17" s="114" t="s">
        <v>129</v>
      </c>
      <c r="B17" s="115" t="s">
        <v>289</v>
      </c>
      <c r="C17" s="45">
        <v>0</v>
      </c>
      <c r="D17" s="45">
        <v>0</v>
      </c>
      <c r="E17" s="45">
        <v>0</v>
      </c>
      <c r="F17" s="45">
        <v>0</v>
      </c>
      <c r="G17" s="116">
        <f>(((D17*(1+Parâmetros!B11)*(1+Parâmetros!C11)*(1+Parâmetros!D11))+(E17*(1+Parâmetros!C11)*(1+Parâmetros!D11)+(F17*(1+Parâmetros!D11))))/3)*(1+Parâmetros!E11)*(1+Parâmetros!E13)*(1+Parâmetros!E18)</f>
        <v>0</v>
      </c>
      <c r="H17" s="116">
        <f>G17*(1+Parâmetros!F11)*(1+Parâmetros!F13)*(1+Parâmetros!F18)</f>
        <v>0</v>
      </c>
      <c r="I17" s="116">
        <f>H17*(1+Parâmetros!G11)*(1+Parâmetros!G13)*(1+Parâmetros!G18)</f>
        <v>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</row>
    <row r="18" spans="1:177" ht="12.75">
      <c r="A18" s="114" t="s">
        <v>130</v>
      </c>
      <c r="B18" s="115" t="s">
        <v>131</v>
      </c>
      <c r="C18" s="45">
        <v>0</v>
      </c>
      <c r="D18" s="45">
        <v>0</v>
      </c>
      <c r="E18" s="45">
        <v>0</v>
      </c>
      <c r="F18" s="45">
        <v>0</v>
      </c>
      <c r="G18" s="116">
        <f>(((D18*(1+Parâmetros!B11)*(1+Parâmetros!C11)*(1+Parâmetros!D11))+(E18*(1+Parâmetros!C11)*(1+Parâmetros!D11)+(F18*(1+Parâmetros!D11))))/3)*(1+Parâmetros!E11)</f>
        <v>0</v>
      </c>
      <c r="H18" s="116">
        <f>G18*(1+Parâmetros!F11)</f>
        <v>0</v>
      </c>
      <c r="I18" s="116">
        <f>H18*(1+Parâmetros!G11)</f>
        <v>0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</row>
    <row r="19" spans="1:177" ht="12.75">
      <c r="A19" s="114" t="s">
        <v>132</v>
      </c>
      <c r="B19" s="115" t="s">
        <v>133</v>
      </c>
      <c r="C19" s="45">
        <v>0</v>
      </c>
      <c r="D19" s="45">
        <v>0</v>
      </c>
      <c r="E19" s="45">
        <v>0</v>
      </c>
      <c r="F19" s="45">
        <v>0</v>
      </c>
      <c r="G19" s="116">
        <f>(((D19*(1+Parâmetros!B11)*(1+Parâmetros!C11)*(1+Parâmetros!D11))+(E19*(1+Parâmetros!C11)*(1+Parâmetros!D11)+(F19*(1+Parâmetros!D11))))/3)*(1+Parâmetros!E11)</f>
        <v>0</v>
      </c>
      <c r="H19" s="116">
        <f>G19*(1+Parâmetros!F11)</f>
        <v>0</v>
      </c>
      <c r="I19" s="116">
        <f>H19*(1+Parâmetros!G11)</f>
        <v>0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</row>
    <row r="20" spans="1:177" ht="12.75">
      <c r="A20" s="114" t="s">
        <v>134</v>
      </c>
      <c r="B20" s="115" t="s">
        <v>135</v>
      </c>
      <c r="C20" s="45">
        <v>0</v>
      </c>
      <c r="D20" s="45">
        <v>0</v>
      </c>
      <c r="E20" s="45">
        <v>0</v>
      </c>
      <c r="F20" s="45">
        <v>0</v>
      </c>
      <c r="G20" s="116">
        <f>(((D20*(1+Parâmetros!B11)*(1+Parâmetros!C11)*(1+Parâmetros!D11))+(E20*(1+Parâmetros!C11)*(1+Parâmetros!D11)+(F20*(1+Parâmetros!D11))))/3)*(1+Parâmetros!E11)</f>
        <v>0</v>
      </c>
      <c r="H20" s="116">
        <f>G20*(1+Parâmetros!F11)</f>
        <v>0</v>
      </c>
      <c r="I20" s="116">
        <f>H20*(1+Parâmetros!G11)</f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</row>
    <row r="21" spans="1:177" s="8" customFormat="1" ht="12.75">
      <c r="A21" s="114" t="s">
        <v>136</v>
      </c>
      <c r="B21" s="115" t="s">
        <v>137</v>
      </c>
      <c r="C21" s="45">
        <v>0</v>
      </c>
      <c r="D21" s="45">
        <v>0</v>
      </c>
      <c r="E21" s="45">
        <v>0</v>
      </c>
      <c r="F21" s="45">
        <v>0</v>
      </c>
      <c r="G21" s="116">
        <f>(((D21*(1+Parâmetros!B11)*(1+Parâmetros!C11)*(1+Parâmetros!D11))+(E21*(1+Parâmetros!C11)*(1+Parâmetros!D11)+(F21*(1+Parâmetros!D11))))/3)*(1+Parâmetros!E11)</f>
        <v>0</v>
      </c>
      <c r="H21" s="116">
        <f>G21*(1+Parâmetros!F11)</f>
        <v>0</v>
      </c>
      <c r="I21" s="116">
        <f>H21*(1+Parâmetros!G11)</f>
        <v>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</row>
    <row r="22" spans="1:177" s="8" customFormat="1" ht="12.75">
      <c r="A22" s="114" t="s">
        <v>138</v>
      </c>
      <c r="B22" s="115" t="s">
        <v>139</v>
      </c>
      <c r="C22" s="45">
        <v>18290.7</v>
      </c>
      <c r="D22" s="45">
        <v>20016.79</v>
      </c>
      <c r="E22" s="45">
        <v>23122.01</v>
      </c>
      <c r="F22" s="45">
        <v>26140.8</v>
      </c>
      <c r="G22" s="116">
        <f>(((D22*(1+Parâmetros!B11)*(1+Parâmetros!C11)*(1+Parâmetros!D11))+(E22*(1+Parâmetros!C11)*(1+Parâmetros!D11)+(F22*(1+Parâmetros!D11))))/3)*(1+Parâmetros!E11)*(1+Parâmetros!E12)</f>
        <v>26291.84022829869</v>
      </c>
      <c r="H22" s="116">
        <f>G22*(1+Parâmetros!F11)*(1+Parâmetros!F12)</f>
        <v>27978.661596929785</v>
      </c>
      <c r="I22" s="116">
        <f>H22*(1+Parâmetros!G11)*(1+Parâmetros!G12)</f>
        <v>29733.416103501386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</row>
    <row r="23" spans="1:177" s="8" customFormat="1" ht="12.75">
      <c r="A23" s="111" t="s">
        <v>140</v>
      </c>
      <c r="B23" s="112" t="s">
        <v>141</v>
      </c>
      <c r="C23" s="113">
        <f aca="true" t="shared" si="5" ref="C23:I23">C24+C25+C31+C32+C33</f>
        <v>193207.85</v>
      </c>
      <c r="D23" s="113">
        <f t="shared" si="5"/>
        <v>135951.05</v>
      </c>
      <c r="E23" s="113">
        <f t="shared" si="5"/>
        <v>31225.88</v>
      </c>
      <c r="F23" s="113">
        <f t="shared" si="5"/>
        <v>21976.32</v>
      </c>
      <c r="G23" s="113">
        <f t="shared" si="5"/>
        <v>73356.21832952407</v>
      </c>
      <c r="H23" s="113">
        <f t="shared" si="5"/>
        <v>78036.92438113091</v>
      </c>
      <c r="I23" s="113">
        <f t="shared" si="5"/>
        <v>82905.03322657423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</row>
    <row r="24" spans="1:177" s="8" customFormat="1" ht="12.75">
      <c r="A24" s="114" t="s">
        <v>142</v>
      </c>
      <c r="B24" s="115" t="s">
        <v>143</v>
      </c>
      <c r="C24" s="45">
        <v>2040</v>
      </c>
      <c r="D24" s="45">
        <v>1960</v>
      </c>
      <c r="E24" s="45">
        <v>200</v>
      </c>
      <c r="F24" s="45">
        <v>426.72</v>
      </c>
      <c r="G24" s="116">
        <f>(((D24*(1+Parâmetros!B11)*(1+Parâmetros!C11)*(1+Parâmetros!D11))+(E24*(1+Parâmetros!C11)*(1+Parâmetros!D11)+(F24*(1+Parâmetros!D11))))/3)*(1+Parâmetros!E11)</f>
        <v>980.703944223209</v>
      </c>
      <c r="H24" s="116">
        <f>G24*(1+Parâmetros!F11)</f>
        <v>1017.9706941036909</v>
      </c>
      <c r="I24" s="116">
        <f>H24*(1+Parâmetros!G11)</f>
        <v>1055.6356097855273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</row>
    <row r="25" spans="1:177" s="47" customFormat="1" ht="15.75">
      <c r="A25" s="111" t="s">
        <v>144</v>
      </c>
      <c r="B25" s="112" t="s">
        <v>145</v>
      </c>
      <c r="C25" s="113">
        <f aca="true" t="shared" si="6" ref="C25:I25">C26+C27+C28+C29+C30</f>
        <v>105582.35</v>
      </c>
      <c r="D25" s="113">
        <f t="shared" si="6"/>
        <v>97311.54999999999</v>
      </c>
      <c r="E25" s="113">
        <f t="shared" si="6"/>
        <v>31025.88</v>
      </c>
      <c r="F25" s="113">
        <f t="shared" si="6"/>
        <v>21549.6</v>
      </c>
      <c r="G25" s="113">
        <f t="shared" si="6"/>
        <v>57971.713561764955</v>
      </c>
      <c r="H25" s="113">
        <f t="shared" si="6"/>
        <v>61691.03957177524</v>
      </c>
      <c r="I25" s="113">
        <f t="shared" si="6"/>
        <v>65560.153515222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</row>
    <row r="26" spans="1:177" ht="12.75">
      <c r="A26" s="114" t="s">
        <v>146</v>
      </c>
      <c r="B26" s="115" t="s">
        <v>147</v>
      </c>
      <c r="C26" s="45">
        <v>56043.41</v>
      </c>
      <c r="D26" s="45">
        <v>36858.81</v>
      </c>
      <c r="E26" s="45">
        <v>22927.34</v>
      </c>
      <c r="F26" s="45">
        <v>14732.76</v>
      </c>
      <c r="G26" s="116">
        <f>(((D26*(1+Parâmetros!B11)*(1+Parâmetros!C11)*(1+Parâmetros!D11))+(E26*(1+Parâmetros!C11)*(1+Parâmetros!D11)+(F26*(1+Parâmetros!D11))))/3)*(1+Parâmetros!E11)*(1+Parâmetros!E12)</f>
        <v>28636.721362708184</v>
      </c>
      <c r="H26" s="116">
        <f>G26*(1+Parâmetros!F11)*(1+Parâmetros!F12)</f>
        <v>30473.984677208267</v>
      </c>
      <c r="I26" s="116">
        <f>H26*(1+Parâmetros!G11)*(1+Parâmetros!G12)</f>
        <v>32385.23985859954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</row>
    <row r="27" spans="1:177" ht="12.75">
      <c r="A27" s="114" t="s">
        <v>148</v>
      </c>
      <c r="B27" s="115" t="s">
        <v>149</v>
      </c>
      <c r="C27" s="45">
        <v>49538.94</v>
      </c>
      <c r="D27" s="45">
        <v>60452.74</v>
      </c>
      <c r="E27" s="45">
        <v>8098.54</v>
      </c>
      <c r="F27" s="45">
        <v>6816.84</v>
      </c>
      <c r="G27" s="116">
        <f>(((D27*(1+Parâmetros!B11)*(1+Parâmetros!C11)*(1+Parâmetros!D11))+(E27*(1+Parâmetros!C11)*(1+Parâmetros!D11)+(F27*(1+Parâmetros!D11))))/3)*(1+Parâmetros!E11)*(1+Parâmetros!E12)</f>
        <v>29334.99219905677</v>
      </c>
      <c r="H27" s="116">
        <f>G27*(1+Parâmetros!F11)*(1+Parâmetros!F12)</f>
        <v>31217.054894566973</v>
      </c>
      <c r="I27" s="116">
        <f>H27*(1+Parâmetros!G11)*(1+Parâmetros!G12)</f>
        <v>33174.91365662246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</row>
    <row r="28" spans="1:177" ht="25.5">
      <c r="A28" s="114" t="s">
        <v>150</v>
      </c>
      <c r="B28" s="115" t="s">
        <v>151</v>
      </c>
      <c r="C28" s="45">
        <v>0</v>
      </c>
      <c r="D28" s="45">
        <v>0</v>
      </c>
      <c r="E28" s="45">
        <v>0</v>
      </c>
      <c r="F28" s="45">
        <v>0</v>
      </c>
      <c r="G28" s="116">
        <f>(((D28*(1+Parâmetros!B11)*(1+Parâmetros!C11)*(1+Parâmetros!D11))+(E28*(1+Parâmetros!C11)*(1+Parâmetros!D11)+(F28*(1+Parâmetros!D11))))/3)*(1+Parâmetros!E11)*(1+Parâmetros!E12)</f>
        <v>0</v>
      </c>
      <c r="H28" s="116">
        <f>G28*(1+Parâmetros!F11)*(1+Parâmetros!F12)</f>
        <v>0</v>
      </c>
      <c r="I28" s="116">
        <f>H28*(1+Parâmetros!G11)*(1+Parâmetros!G12)</f>
        <v>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</row>
    <row r="29" spans="1:177" ht="12.75">
      <c r="A29" s="114" t="s">
        <v>152</v>
      </c>
      <c r="B29" s="115" t="s">
        <v>153</v>
      </c>
      <c r="C29" s="45">
        <v>0</v>
      </c>
      <c r="D29" s="45">
        <v>0</v>
      </c>
      <c r="E29" s="45">
        <v>0</v>
      </c>
      <c r="F29" s="45">
        <v>0</v>
      </c>
      <c r="G29" s="116">
        <f>(((D29*(1+Parâmetros!B11)*(1+Parâmetros!C11)*(1+Parâmetros!D11))+(E29*(1+Parâmetros!C11)*(1+Parâmetros!D11)+(F29*(1+Parâmetros!D11))))/3)*(1+Parâmetros!E11)*(1+Parâmetros!E12)</f>
        <v>0</v>
      </c>
      <c r="H29" s="116">
        <f>G29*(1+Parâmetros!F11)*(1+Parâmetros!F12)</f>
        <v>0</v>
      </c>
      <c r="I29" s="116">
        <f>H29*(1+Parâmetros!G11)*(1+Parâmetros!G12)</f>
        <v>0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</row>
    <row r="30" spans="1:177" ht="12.75">
      <c r="A30" s="114" t="s">
        <v>154</v>
      </c>
      <c r="B30" s="115" t="s">
        <v>155</v>
      </c>
      <c r="C30" s="45">
        <v>0</v>
      </c>
      <c r="D30" s="45">
        <v>0</v>
      </c>
      <c r="E30" s="45">
        <v>0</v>
      </c>
      <c r="F30" s="45">
        <v>0</v>
      </c>
      <c r="G30" s="116">
        <f>(((D30*(1+Parâmetros!B11)*(1+Parâmetros!C11)*(1+Parâmetros!D11))+(E30*(1+Parâmetros!C11)*(1+Parâmetros!D11)+(F30*(1+Parâmetros!D11))))/3)*(1+Parâmetros!E11)*(1+Parâmetros!E12)</f>
        <v>0</v>
      </c>
      <c r="H30" s="116">
        <f>G30*(1+Parâmetros!F11)*(1+Parâmetros!F12)</f>
        <v>0</v>
      </c>
      <c r="I30" s="116">
        <f>H30*(1+Parâmetros!G11)*(1+Parâmetros!G12)</f>
        <v>0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</row>
    <row r="31" spans="1:177" ht="25.5">
      <c r="A31" s="114" t="s">
        <v>156</v>
      </c>
      <c r="B31" s="115" t="s">
        <v>157</v>
      </c>
      <c r="C31" s="45">
        <v>0</v>
      </c>
      <c r="D31" s="45">
        <v>0</v>
      </c>
      <c r="E31" s="45">
        <v>0</v>
      </c>
      <c r="F31" s="45">
        <v>0</v>
      </c>
      <c r="G31" s="116">
        <f>(((D31*(1+Parâmetros!B11)*(1+Parâmetros!C11)*(1+Parâmetros!D11))+(E31*(1+Parâmetros!C11)*(1+Parâmetros!D11)+(F31*(1+Parâmetros!D11))))/3)*(1+Parâmetros!E11)*(1+Parâmetros!E12)</f>
        <v>0</v>
      </c>
      <c r="H31" s="116">
        <f>G31*(1+Parâmetros!F11)*(1+Parâmetros!F12)</f>
        <v>0</v>
      </c>
      <c r="I31" s="116">
        <f>H31*(1+Parâmetros!G11)*(1+Parâmetros!G12)</f>
        <v>0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</row>
    <row r="32" spans="1:177" ht="12.75">
      <c r="A32" s="114" t="s">
        <v>158</v>
      </c>
      <c r="B32" s="115" t="s">
        <v>159</v>
      </c>
      <c r="C32" s="45">
        <v>85585.5</v>
      </c>
      <c r="D32" s="45">
        <v>36679.5</v>
      </c>
      <c r="E32" s="45">
        <v>0</v>
      </c>
      <c r="F32" s="45">
        <v>0</v>
      </c>
      <c r="G32" s="116">
        <f>(((D32*(1+Parâmetros!B11)*(1+Parâmetros!C11)*(1+Parâmetros!D11))+(E32*(1+Parâmetros!C11)*(1+Parâmetros!D11)+(F32*(1+Parâmetros!D11))))/3)*(1+Parâmetros!E11)*(1+Parâmetros!E12)</f>
        <v>14403.800823535894</v>
      </c>
      <c r="H32" s="116">
        <f>G32*(1+Parâmetros!F11)*(1+Parâmetros!F12)</f>
        <v>15327.914115251979</v>
      </c>
      <c r="I32" s="116">
        <f>H32*(1+Parâmetros!G11)*(1+Parâmetros!G12)</f>
        <v>16289.244101566705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</row>
    <row r="33" spans="1:177" ht="12.75">
      <c r="A33" s="114" t="s">
        <v>160</v>
      </c>
      <c r="B33" s="115" t="s">
        <v>161</v>
      </c>
      <c r="C33" s="45">
        <v>0</v>
      </c>
      <c r="D33" s="45">
        <v>0</v>
      </c>
      <c r="E33" s="45">
        <v>0</v>
      </c>
      <c r="F33" s="45">
        <v>0</v>
      </c>
      <c r="G33" s="116">
        <f>(((D33*(1+Parâmetros!B11)*(1+Parâmetros!C11)*(1+Parâmetros!D11))+(E33*(1+Parâmetros!C11)*(1+Parâmetros!D11)+(F33*(1+Parâmetros!D11))))/3)*(1+Parâmetros!E11)*(1+Parâmetros!E12)</f>
        <v>0</v>
      </c>
      <c r="H33" s="116">
        <f>G33*(1+Parâmetros!F11)*(1+Parâmetros!F12)</f>
        <v>0</v>
      </c>
      <c r="I33" s="116">
        <f>H33*(1+Parâmetros!G11)*(1+Parâmetros!G12)</f>
        <v>0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</row>
    <row r="34" spans="1:177" ht="12.75">
      <c r="A34" s="114" t="s">
        <v>162</v>
      </c>
      <c r="B34" s="115" t="s">
        <v>163</v>
      </c>
      <c r="C34" s="45">
        <v>0</v>
      </c>
      <c r="D34" s="45">
        <v>0</v>
      </c>
      <c r="E34" s="45">
        <v>0</v>
      </c>
      <c r="F34" s="45">
        <v>0</v>
      </c>
      <c r="G34" s="116">
        <f>(((D34*(1+Parâmetros!B11)*(1+Parâmetros!C11)*(1+Parâmetros!D11))+(E34*(1+Parâmetros!C11)*(1+Parâmetros!D11)+(F34*(1+Parâmetros!D11))))/3)*(1+Parâmetros!E11)*(1+Parâmetros!E12)</f>
        <v>0</v>
      </c>
      <c r="H34" s="116">
        <f>G34*(1+Parâmetros!F11)*(1+Parâmetros!F12)</f>
        <v>0</v>
      </c>
      <c r="I34" s="116">
        <f>H34*(1+Parâmetros!G11)*(1+Parâmetros!G12)</f>
        <v>0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</row>
    <row r="35" spans="1:177" ht="12.75">
      <c r="A35" s="114" t="s">
        <v>193</v>
      </c>
      <c r="B35" s="115" t="s">
        <v>194</v>
      </c>
      <c r="C35" s="45">
        <v>0</v>
      </c>
      <c r="D35" s="45">
        <v>0</v>
      </c>
      <c r="E35" s="45">
        <v>0</v>
      </c>
      <c r="F35" s="45">
        <v>0</v>
      </c>
      <c r="G35" s="116">
        <f>(((D35*(1+Parâmetros!B11)*(1+Parâmetros!C11)*(1+Parâmetros!D11))+(E35*(1+Parâmetros!C11)*(1+Parâmetros!D11)+(F35*(1+Parâmetros!D11))))/3)*(1+Parâmetros!E11)*(1+Parâmetros!E12)</f>
        <v>0</v>
      </c>
      <c r="H35" s="116">
        <f>G35*(1+Parâmetros!F11)*(1+Parâmetros!F12)</f>
        <v>0</v>
      </c>
      <c r="I35" s="116">
        <f>H35*(1+Parâmetros!G11)*(1+Parâmetros!G12)</f>
        <v>0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</row>
    <row r="36" spans="1:177" s="7" customFormat="1" ht="12.75">
      <c r="A36" s="189" t="s">
        <v>324</v>
      </c>
      <c r="B36" s="190" t="s">
        <v>164</v>
      </c>
      <c r="C36" s="191">
        <f aca="true" t="shared" si="7" ref="C36:I36">C37+C38</f>
        <v>58158.78</v>
      </c>
      <c r="D36" s="191">
        <f t="shared" si="7"/>
        <v>79368.46</v>
      </c>
      <c r="E36" s="191">
        <f t="shared" si="7"/>
        <v>128268.07</v>
      </c>
      <c r="F36" s="191">
        <f t="shared" si="7"/>
        <v>86592.72</v>
      </c>
      <c r="G36" s="191">
        <f t="shared" si="7"/>
        <v>151933.4</v>
      </c>
      <c r="H36" s="191">
        <f t="shared" si="7"/>
        <v>161681.08230383997</v>
      </c>
      <c r="I36" s="191">
        <f t="shared" si="7"/>
        <v>171821.33175133925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</row>
    <row r="37" spans="1:177" ht="25.5">
      <c r="A37" s="192" t="s">
        <v>326</v>
      </c>
      <c r="B37" s="115" t="s">
        <v>327</v>
      </c>
      <c r="C37" s="45">
        <v>0</v>
      </c>
      <c r="D37" s="45">
        <v>0</v>
      </c>
      <c r="E37" s="45">
        <v>0</v>
      </c>
      <c r="F37" s="45">
        <v>0</v>
      </c>
      <c r="G37" s="113">
        <f>(((D37*(1+Parâmetros!B11)*(1+Parâmetros!C11)*(1+Parâmetros!D11))+(E37*(1+Parâmetros!C11)*(1+Parâmetros!D11)+(F37*(1+Parâmetros!D11))))/3)*(1+Parâmetros!E11)</f>
        <v>0</v>
      </c>
      <c r="H37" s="116">
        <f>G37*(1+Parâmetros!F11)</f>
        <v>0</v>
      </c>
      <c r="I37" s="116">
        <f>H37*(1+Parâmetros!G11)</f>
        <v>0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</row>
    <row r="38" spans="1:177" ht="12.75">
      <c r="A38" s="114" t="s">
        <v>324</v>
      </c>
      <c r="B38" s="115" t="s">
        <v>325</v>
      </c>
      <c r="C38" s="45">
        <v>58158.78</v>
      </c>
      <c r="D38" s="45">
        <v>79368.46</v>
      </c>
      <c r="E38" s="45">
        <v>128268.07</v>
      </c>
      <c r="F38" s="45">
        <v>86592.72</v>
      </c>
      <c r="G38" s="113">
        <v>151933.4</v>
      </c>
      <c r="H38" s="113">
        <f>G38*(1+Parâmetros!F11)*(1+Parâmetros!F12)</f>
        <v>161681.08230383997</v>
      </c>
      <c r="I38" s="113">
        <f>H38*(1+Parâmetros!G11)*(1+Parâmetros!G12)</f>
        <v>171821.33175133925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</row>
    <row r="39" spans="1:177" s="7" customFormat="1" ht="12.75">
      <c r="A39" s="111" t="s">
        <v>165</v>
      </c>
      <c r="B39" s="112" t="s">
        <v>166</v>
      </c>
      <c r="C39" s="113">
        <f aca="true" t="shared" si="8" ref="C39:I39">C40+C51+C61+C62+C63+C64+C65</f>
        <v>14185199.180000003</v>
      </c>
      <c r="D39" s="113">
        <f t="shared" si="8"/>
        <v>14190888.980000002</v>
      </c>
      <c r="E39" s="113">
        <f t="shared" si="8"/>
        <v>15460486.380000003</v>
      </c>
      <c r="F39" s="113">
        <f t="shared" si="8"/>
        <v>16742799.099999998</v>
      </c>
      <c r="G39" s="113">
        <f t="shared" si="8"/>
        <v>17398863.25556064</v>
      </c>
      <c r="H39" s="113">
        <f t="shared" si="8"/>
        <v>18571980.24332322</v>
      </c>
      <c r="I39" s="113">
        <f t="shared" si="8"/>
        <v>19709099.00950803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</row>
    <row r="40" spans="1:177" s="7" customFormat="1" ht="12.75">
      <c r="A40" s="111" t="s">
        <v>167</v>
      </c>
      <c r="B40" s="112" t="s">
        <v>168</v>
      </c>
      <c r="C40" s="113">
        <f aca="true" t="shared" si="9" ref="C40:I40">C41+C42+C43+C44+C45+C46+C47+C48+C49+C50</f>
        <v>9316131.470000003</v>
      </c>
      <c r="D40" s="113">
        <f t="shared" si="9"/>
        <v>8982089.680000002</v>
      </c>
      <c r="E40" s="113">
        <f t="shared" si="9"/>
        <v>9787973.280000001</v>
      </c>
      <c r="F40" s="113">
        <f t="shared" si="9"/>
        <v>10461102.459999997</v>
      </c>
      <c r="G40" s="113">
        <f t="shared" si="9"/>
        <v>10820084.417309051</v>
      </c>
      <c r="H40" s="113">
        <f t="shared" si="9"/>
        <v>11433990.28752612</v>
      </c>
      <c r="I40" s="113">
        <f t="shared" si="9"/>
        <v>11992061.841125444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</row>
    <row r="41" spans="1:177" ht="12.75">
      <c r="A41" s="114" t="s">
        <v>169</v>
      </c>
      <c r="B41" s="115" t="s">
        <v>170</v>
      </c>
      <c r="C41" s="45">
        <v>7262618.26</v>
      </c>
      <c r="D41" s="45">
        <v>6918993.96</v>
      </c>
      <c r="E41" s="45">
        <v>7413358.43</v>
      </c>
      <c r="F41" s="45">
        <v>8276295.16</v>
      </c>
      <c r="G41" s="116">
        <f>(((D41*(1+Parâmetros!B11)*(1+Parâmetros!C11)*(1+Parâmetros!D11))+(E41*(1+Parâmetros!C11)*(1+Parâmetros!D11)+(F41*(1+Parâmetros!D11))))/3)*(1+Parâmetros!E11)*(1+Parâmetros!E16)</f>
        <v>8363219.723571369</v>
      </c>
      <c r="H41" s="116">
        <f>G41*(1+Parâmetros!F11)*(1+Parâmetros!F16)</f>
        <v>8850989.344750162</v>
      </c>
      <c r="I41" s="116">
        <f>H41*(1+Parâmetros!G11)*(1+Parâmetros!G16)</f>
        <v>9291663.5063867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</row>
    <row r="42" spans="1:177" ht="25.5">
      <c r="A42" s="114" t="s">
        <v>171</v>
      </c>
      <c r="B42" s="115" t="s">
        <v>172</v>
      </c>
      <c r="C42" s="45">
        <v>320951.73</v>
      </c>
      <c r="D42" s="45">
        <v>307589.82</v>
      </c>
      <c r="E42" s="45">
        <v>329256.07</v>
      </c>
      <c r="F42" s="45">
        <v>341589.25</v>
      </c>
      <c r="G42" s="116">
        <f>(((D42*(1+Parâmetros!B11)*(1+Parâmetros!C11)*(1+Parâmetros!D11))+(E42*(1+Parâmetros!C11)*(1+Parâmetros!D11)+(F42*(1+Parâmetros!D11))))/3)*(1+Parâmetros!E11)*(1+Parâmetros!E16)</f>
        <v>362246.7891853214</v>
      </c>
      <c r="H42" s="116">
        <f>G42*(1+Parâmetros!F11)*(1+Parâmetros!F16)</f>
        <v>383374.17612173734</v>
      </c>
      <c r="I42" s="116">
        <f>H42*(1+Parâmetros!G11)*(1+Parâmetros!G16)</f>
        <v>402461.65742751374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</row>
    <row r="43" spans="1:177" ht="25.5">
      <c r="A43" s="114" t="s">
        <v>173</v>
      </c>
      <c r="B43" s="115" t="s">
        <v>174</v>
      </c>
      <c r="C43" s="45">
        <v>215017.29</v>
      </c>
      <c r="D43" s="45">
        <v>317350.91</v>
      </c>
      <c r="E43" s="45">
        <v>321239.56</v>
      </c>
      <c r="F43" s="45">
        <v>341589.25</v>
      </c>
      <c r="G43" s="116">
        <f>(((D43*(1+Parâmetros!B11)*(1+Parâmetros!C11)*(1+Parâmetros!D11))+(E43*(1+Parâmetros!C11)*(1+Parâmetros!D11)+(F43*(1+Parâmetros!D11))))/3)*(1+Parâmetros!E11)*(1+Parâmetros!E16)</f>
        <v>363001.79599728744</v>
      </c>
      <c r="H43" s="116">
        <f>G43*(1+Parâmetros!F11)*(1+Parâmetros!F16)</f>
        <v>384173.21733658074</v>
      </c>
      <c r="I43" s="116">
        <f>H43*(1+Parâmetros!G11)*(1+Parâmetros!G16)</f>
        <v>403300.48140604026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</row>
    <row r="44" spans="1:177" ht="12.75">
      <c r="A44" s="114" t="s">
        <v>175</v>
      </c>
      <c r="B44" s="115" t="s">
        <v>176</v>
      </c>
      <c r="C44" s="45">
        <v>69233.12</v>
      </c>
      <c r="D44" s="45">
        <v>82385.99</v>
      </c>
      <c r="E44" s="45">
        <v>84745.73</v>
      </c>
      <c r="F44" s="45">
        <v>80000</v>
      </c>
      <c r="G44" s="116">
        <f>(((D44*(1+Parâmetros!B11)*(1+Parâmetros!C11)*(1+Parâmetros!D11))+(E44*(1+Parâmetros!C11)*(1+Parâmetros!D11)+(F44*(1+Parâmetros!D11))))/3)*(1+Parâmetros!E11)*(1+Parâmetros!E16)</f>
        <v>91631.29338013876</v>
      </c>
      <c r="H44" s="116">
        <f>G44*(1+Parâmetros!F11)*(1+Parâmetros!F16)</f>
        <v>96975.5223657987</v>
      </c>
      <c r="I44" s="116">
        <f>H44*(1+Parâmetros!G11)*(1+Parâmetros!G16)</f>
        <v>101803.75177081555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</row>
    <row r="45" spans="1:177" ht="25.5">
      <c r="A45" s="114" t="s">
        <v>177</v>
      </c>
      <c r="B45" s="115" t="s">
        <v>178</v>
      </c>
      <c r="C45" s="45">
        <v>702332.33</v>
      </c>
      <c r="D45" s="45">
        <v>657895.67</v>
      </c>
      <c r="E45" s="45">
        <v>644298.31</v>
      </c>
      <c r="F45" s="45">
        <v>787743.12</v>
      </c>
      <c r="G45" s="116">
        <f>(((D45*(1+Parâmetros!B11)*(1+Parâmetros!C11)*(1+Parâmetros!D11))+(E45*(1+Parâmetros!C11)*(1+Parâmetros!D11)+(F45*(1+Parâmetros!D11))))/3)*(1+Parâmetros!E11)*(1+Parâmetros!E16)</f>
        <v>772990.5163638503</v>
      </c>
      <c r="H45" s="116">
        <f>G45*(1+Parâmetros!F11)*(1+Parâmetros!F16)</f>
        <v>818073.7861814445</v>
      </c>
      <c r="I45" s="116">
        <f>H45*(1+Parâmetros!G11)*(1+Parâmetros!G16)</f>
        <v>858804.1459006282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</row>
    <row r="46" spans="1:177" ht="25.5">
      <c r="A46" s="114" t="s">
        <v>179</v>
      </c>
      <c r="B46" s="115" t="s">
        <v>180</v>
      </c>
      <c r="C46" s="45">
        <v>273670.17</v>
      </c>
      <c r="D46" s="45">
        <v>255463.78</v>
      </c>
      <c r="E46" s="45">
        <v>393015.81</v>
      </c>
      <c r="F46" s="45">
        <v>255439.44</v>
      </c>
      <c r="G46" s="116">
        <f>(((D46*(1+Parâmetros!B11)*(1+Parâmetros!C11)*(1+Parâmetros!D11))+(E46*(1+Parâmetros!C11)*(1+Parâmetros!D11)+(F46*(1+Parâmetros!D11))))/3)*(1+Parâmetros!E11)</f>
        <v>336547.6943706014</v>
      </c>
      <c r="H46" s="116">
        <f>G46*(1+Parâmetros!F11)</f>
        <v>349336.5067566843</v>
      </c>
      <c r="I46" s="116">
        <f>H46*(1+Parâmetros!G11)</f>
        <v>362261.95750668156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</row>
    <row r="47" spans="1:177" ht="25.5">
      <c r="A47" s="114" t="s">
        <v>181</v>
      </c>
      <c r="B47" s="115" t="s">
        <v>182</v>
      </c>
      <c r="C47" s="45">
        <v>221896.07</v>
      </c>
      <c r="D47" s="45">
        <v>225069.75</v>
      </c>
      <c r="E47" s="45">
        <v>227198.13</v>
      </c>
      <c r="F47" s="45">
        <v>134300.04</v>
      </c>
      <c r="G47" s="116">
        <f>(((D47*(1+Parâmetros!B11)*(1+Parâmetros!C11)*(1+Parâmetros!D11))+(E47*(1+Parâmetros!C11)*(1+Parâmetros!D11)+(F47*(1+Parâmetros!D11))))/3)*(1+Parâmetros!E11)</f>
        <v>219466.8524915794</v>
      </c>
      <c r="H47" s="116">
        <f>G47*(1+Parâmetros!F11)</f>
        <v>227806.59288625943</v>
      </c>
      <c r="I47" s="116">
        <f>H47*(1+Parâmetros!G11)</f>
        <v>236235.43682305102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</row>
    <row r="48" spans="1:177" ht="25.5">
      <c r="A48" s="114" t="s">
        <v>183</v>
      </c>
      <c r="B48" s="115" t="s">
        <v>184</v>
      </c>
      <c r="C48" s="45">
        <v>177449.63</v>
      </c>
      <c r="D48" s="45">
        <v>159440.31</v>
      </c>
      <c r="E48" s="45">
        <v>237233.72</v>
      </c>
      <c r="F48" s="45">
        <v>208996.44</v>
      </c>
      <c r="G48" s="116">
        <f>(((D48*(1+Parâmetros!B11)*(1+Parâmetros!C11)*(1+Parâmetros!D11))+(E48*(1+Parâmetros!C11)*(1+Parâmetros!D11)+(F48*(1+Parâmetros!D11))))/3)*(1+Parâmetros!E11)</f>
        <v>224865.64552538542</v>
      </c>
      <c r="H48" s="116">
        <f>G48*(1+Parâmetros!F11)</f>
        <v>233410.54005535008</v>
      </c>
      <c r="I48" s="116">
        <f>H48*(1+Parâmetros!G11)</f>
        <v>242046.73003739803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</row>
    <row r="49" spans="1:177" ht="12.75">
      <c r="A49" s="114" t="s">
        <v>185</v>
      </c>
      <c r="B49" s="115" t="s">
        <v>186</v>
      </c>
      <c r="C49" s="45">
        <v>20451.9</v>
      </c>
      <c r="D49" s="45">
        <v>21001.32</v>
      </c>
      <c r="E49" s="45">
        <v>20584.04</v>
      </c>
      <c r="F49" s="45">
        <v>20000</v>
      </c>
      <c r="G49" s="116">
        <f>(((D49*(1+Parâmetros!B11)*(1+Parâmetros!C11)*(1+Parâmetros!D11))+(E49*(1+Parâmetros!C11)*(1+Parâmetros!D11)+(F49*(1+Parâmetros!D11))))/3)*(1+Parâmetros!E11)*(1+Parâmetros!E16)</f>
        <v>22838.869845325553</v>
      </c>
      <c r="H49" s="116">
        <f>G49*(1+Parâmetros!F11)*(1+Parâmetros!F16)</f>
        <v>24170.90550393778</v>
      </c>
      <c r="I49" s="116">
        <f>H49*(1+Parâmetros!G11)*(1+Parâmetros!G16)</f>
        <v>25374.329562431485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</row>
    <row r="50" spans="1:177" ht="12.75">
      <c r="A50" s="114" t="s">
        <v>187</v>
      </c>
      <c r="B50" s="115" t="s">
        <v>188</v>
      </c>
      <c r="C50" s="45">
        <v>52510.97</v>
      </c>
      <c r="D50" s="45">
        <v>36898.17</v>
      </c>
      <c r="E50" s="45">
        <v>117043.48</v>
      </c>
      <c r="F50" s="45">
        <v>15149.76</v>
      </c>
      <c r="G50" s="116">
        <f>(((D50*(1+Parâmetros!B11)*(1+Parâmetros!C11)*(1+Parâmetros!D11))+(E50*(1+Parâmetros!C11)*(1+Parâmetros!D11)+(F50*(1+Parâmetros!D11))))/3)*(1+Parâmetros!E11)</f>
        <v>63275.236578192555</v>
      </c>
      <c r="H50" s="116">
        <f>G50*(1+Parâmetros!F11)</f>
        <v>65679.69556816388</v>
      </c>
      <c r="I50" s="116">
        <f>H50*(1+Parâmetros!G11)</f>
        <v>68109.84430418594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</row>
    <row r="51" spans="1:177" s="7" customFormat="1" ht="25.5">
      <c r="A51" s="111" t="s">
        <v>189</v>
      </c>
      <c r="B51" s="112" t="s">
        <v>190</v>
      </c>
      <c r="C51" s="113">
        <f aca="true" t="shared" si="10" ref="C51:I51">C52+C53+C54+C55+C56+C57+C58+C59+C60</f>
        <v>3601039.1600000006</v>
      </c>
      <c r="D51" s="113">
        <f t="shared" si="10"/>
        <v>3809744.4899999998</v>
      </c>
      <c r="E51" s="113">
        <f t="shared" si="10"/>
        <v>4233706.390000001</v>
      </c>
      <c r="F51" s="113">
        <f t="shared" si="10"/>
        <v>4693811.52</v>
      </c>
      <c r="G51" s="113">
        <f t="shared" si="10"/>
        <v>4940709.797143835</v>
      </c>
      <c r="H51" s="113">
        <f t="shared" si="10"/>
        <v>5404430.335414779</v>
      </c>
      <c r="I51" s="113">
        <f t="shared" si="10"/>
        <v>5897197.450003675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</row>
    <row r="52" spans="1:177" ht="12.75">
      <c r="A52" s="114" t="s">
        <v>191</v>
      </c>
      <c r="B52" s="115" t="s">
        <v>192</v>
      </c>
      <c r="C52" s="45">
        <v>3147193.2</v>
      </c>
      <c r="D52" s="45">
        <v>3391782.96</v>
      </c>
      <c r="E52" s="45">
        <v>3698681.35</v>
      </c>
      <c r="F52" s="45">
        <v>4134116.64</v>
      </c>
      <c r="G52" s="116">
        <f>(((D52*(1+Parâmetros!B11)*(1+Parâmetros!C11)*(1+Parâmetros!D11))+(E52*(1+Parâmetros!C11)*(1+Parâmetros!D11)+(F52*(1+Parâmetros!D11))))/3)*(1+Parâmetros!E11)*(1+Parâmetros!E17)</f>
        <v>4367069.968637999</v>
      </c>
      <c r="H52" s="116">
        <f>G52*(1+Parâmetros!F11)*(1+Parâmetros!F17)</f>
        <v>4792860.260243938</v>
      </c>
      <c r="I52" s="116">
        <f>H52*(1+Parâmetros!G11)*(1+Parâmetros!G17)</f>
        <v>5245883.579267183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</row>
    <row r="53" spans="1:177" ht="12.75">
      <c r="A53" s="114" t="s">
        <v>195</v>
      </c>
      <c r="B53" s="115" t="s">
        <v>196</v>
      </c>
      <c r="C53" s="45">
        <v>132675.89</v>
      </c>
      <c r="D53" s="45">
        <v>129008.09</v>
      </c>
      <c r="E53" s="45">
        <v>163302.29</v>
      </c>
      <c r="F53" s="45">
        <v>209459.04</v>
      </c>
      <c r="G53" s="116">
        <f>(((D53*(1+Parâmetros!B11)*(1+Parâmetros!C11)*(1+Parâmetros!D11))+(E53*(1+Parâmetros!C11)*(1+Parâmetros!D11)+(F53*(1+Parâmetros!D11))))/3)*(1+Parâmetros!E11)*(1+Parâmetros!E17)</f>
        <v>194611.9636840679</v>
      </c>
      <c r="H53" s="116">
        <f>G53*(1+Parâmetros!F11)*(1+Parâmetros!F17)</f>
        <v>213586.67335488342</v>
      </c>
      <c r="I53" s="116">
        <f>H53*(1+Parâmetros!G11)*(1+Parâmetros!G17)</f>
        <v>233774.98229953815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</row>
    <row r="54" spans="1:177" ht="12.75">
      <c r="A54" s="114" t="s">
        <v>197</v>
      </c>
      <c r="B54" s="115" t="s">
        <v>198</v>
      </c>
      <c r="C54" s="45">
        <v>39297.87</v>
      </c>
      <c r="D54" s="45">
        <v>51246.17</v>
      </c>
      <c r="E54" s="45">
        <v>54090.09</v>
      </c>
      <c r="F54" s="45">
        <v>54805.8</v>
      </c>
      <c r="G54" s="116">
        <f>(((D54*(1+Parâmetros!B11)*(1+Parâmetros!C11)*(1+Parâmetros!D11))+(E54*(1+Parâmetros!C11)*(1+Parâmetros!D11)+(F54*(1+Parâmetros!D11))))/3)*(1+Parâmetros!E11)*(1+Parâmetros!E17)</f>
        <v>62397.10804676364</v>
      </c>
      <c r="H54" s="116">
        <f>G54*(1+Parâmetros!F11)*(1+Parâmetros!F17)</f>
        <v>68480.83993597007</v>
      </c>
      <c r="I54" s="116">
        <f>H54*(1+Parâmetros!G11)*(1+Parâmetros!G17)</f>
        <v>74953.67989223321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</row>
    <row r="55" spans="1:177" ht="12.75">
      <c r="A55" s="114" t="s">
        <v>199</v>
      </c>
      <c r="B55" s="115" t="s">
        <v>200</v>
      </c>
      <c r="C55" s="45">
        <v>11341.49</v>
      </c>
      <c r="D55" s="45">
        <v>15806.1</v>
      </c>
      <c r="E55" s="45">
        <v>12504.81</v>
      </c>
      <c r="F55" s="45">
        <v>7618.2</v>
      </c>
      <c r="G55" s="116">
        <f>(((D55*(1+Parâmetros!B11)*(1+Parâmetros!C11)*(1+Parâmetros!D11))+(E55*(1+Parâmetros!C11)*(1+Parâmetros!D11)+(F55*(1+Parâmetros!D11))))/3)*(1+Parâmetros!E11)*(1+Parâmetros!E17)</f>
        <v>14114.843923919496</v>
      </c>
      <c r="H55" s="116">
        <f>G55*(1+Parâmetros!F11)*(1+Parâmetros!F17)</f>
        <v>15491.044340560034</v>
      </c>
      <c r="I55" s="116">
        <f>H55*(1+Parâmetros!G11)*(1+Parâmetros!G17)</f>
        <v>16955.264856336053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</row>
    <row r="56" spans="1:177" ht="12.75">
      <c r="A56" s="114" t="s">
        <v>201</v>
      </c>
      <c r="B56" s="115" t="s">
        <v>202</v>
      </c>
      <c r="C56" s="45">
        <v>0</v>
      </c>
      <c r="D56" s="45">
        <v>0</v>
      </c>
      <c r="E56" s="45">
        <v>0</v>
      </c>
      <c r="F56" s="45">
        <v>0</v>
      </c>
      <c r="G56" s="116">
        <f>(((D56*(1+Parâmetros!B11)*(1+Parâmetros!C11)*(1+Parâmetros!D11))+(E56*(1+Parâmetros!C11)*(1+Parâmetros!D11)+(F56*(1+Parâmetros!D11))))/3)*(1+Parâmetros!E11)</f>
        <v>0</v>
      </c>
      <c r="H56" s="116">
        <f>G56*(1+Parâmetros!F11)</f>
        <v>0</v>
      </c>
      <c r="I56" s="116">
        <f>H56*(1+Parâmetros!G11)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</row>
    <row r="57" spans="1:177" ht="12.75">
      <c r="A57" s="114" t="s">
        <v>203</v>
      </c>
      <c r="B57" s="115" t="s">
        <v>204</v>
      </c>
      <c r="C57" s="45">
        <v>0</v>
      </c>
      <c r="D57" s="45">
        <v>0</v>
      </c>
      <c r="E57" s="45">
        <v>0</v>
      </c>
      <c r="F57" s="45">
        <v>0</v>
      </c>
      <c r="G57" s="116">
        <f>(((D57*(1+Parâmetros!B11)*(1+Parâmetros!C11)*(1+Parâmetros!D11))+(E57*(1+Parâmetros!C11)*(1+Parâmetros!D11)+(F57*(1+Parâmetros!D11))))/3)*(1+Parâmetros!E11)</f>
        <v>0</v>
      </c>
      <c r="H57" s="116">
        <f>G57*(1+Parâmetros!F11)</f>
        <v>0</v>
      </c>
      <c r="I57" s="116">
        <f>H57*(1+Parâmetros!G11)</f>
        <v>0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</row>
    <row r="58" spans="1:177" ht="25.5">
      <c r="A58" s="114" t="s">
        <v>205</v>
      </c>
      <c r="B58" s="115" t="s">
        <v>206</v>
      </c>
      <c r="C58" s="45">
        <v>131053.58</v>
      </c>
      <c r="D58" s="45">
        <v>99189.11</v>
      </c>
      <c r="E58" s="45">
        <v>183372.97</v>
      </c>
      <c r="F58" s="45">
        <v>162210.6</v>
      </c>
      <c r="G58" s="116">
        <f>(((D58*(1+Parâmetros!B11)*(1+Parâmetros!C11)*(1+Parâmetros!D11))+(E58*(1+Parâmetros!C11)*(1+Parâmetros!D11)+(F58*(1+Parâmetros!D11))))/3)*(1+Parâmetros!E11)</f>
        <v>164815.17763220647</v>
      </c>
      <c r="H58" s="116">
        <f>G58*(1+Parâmetros!F11)</f>
        <v>171078.1543822303</v>
      </c>
      <c r="I58" s="116">
        <f>H58*(1+Parâmetros!G11)</f>
        <v>177408.0460943728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</row>
    <row r="59" spans="1:177" ht="25.5">
      <c r="A59" s="114" t="s">
        <v>207</v>
      </c>
      <c r="B59" s="115" t="s">
        <v>208</v>
      </c>
      <c r="C59" s="45">
        <v>139477.13</v>
      </c>
      <c r="D59" s="45">
        <v>122712.06</v>
      </c>
      <c r="E59" s="45">
        <v>121754.88</v>
      </c>
      <c r="F59" s="45">
        <v>125601.24</v>
      </c>
      <c r="G59" s="116">
        <f>(((D59*(1+Parâmetros!B11)*(1+Parâmetros!C11)*(1+Parâmetros!D11))+(E59*(1+Parâmetros!C11)*(1+Parâmetros!D11)+(F59*(1+Parâmetros!D11))))/3)*(1+Parâmetros!E11)</f>
        <v>137700.7352188782</v>
      </c>
      <c r="H59" s="116">
        <f>G59*(1+Parâmetros!F11)</f>
        <v>142933.36315719556</v>
      </c>
      <c r="I59" s="116">
        <f>H59*(1+Parâmetros!G11)</f>
        <v>148221.8975940118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</row>
    <row r="60" spans="1:177" ht="12.75">
      <c r="A60" s="114" t="s">
        <v>209</v>
      </c>
      <c r="B60" s="115" t="s">
        <v>204</v>
      </c>
      <c r="C60" s="45"/>
      <c r="D60" s="45">
        <v>0</v>
      </c>
      <c r="E60" s="45">
        <v>0</v>
      </c>
      <c r="F60" s="45">
        <v>0</v>
      </c>
      <c r="G60" s="116">
        <f>(((D60*(1+Parâmetros!B11)*(1+Parâmetros!C11)*(1+Parâmetros!D11))+(E60*(1+Parâmetros!C11)*(1+Parâmetros!D11)+(F60*(1+Parâmetros!D11))))/3)*(1+Parâmetros!E11)</f>
        <v>0</v>
      </c>
      <c r="H60" s="116">
        <f>G60*(1+Parâmetros!F11)</f>
        <v>0</v>
      </c>
      <c r="I60" s="116">
        <f>H60*(1+Parâmetros!G11)</f>
        <v>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</row>
    <row r="61" spans="1:177" ht="12.75">
      <c r="A61" s="114" t="s">
        <v>210</v>
      </c>
      <c r="B61" s="115" t="s">
        <v>211</v>
      </c>
      <c r="C61" s="45"/>
      <c r="D61" s="45">
        <v>0</v>
      </c>
      <c r="E61" s="45">
        <v>0</v>
      </c>
      <c r="F61" s="45">
        <v>0</v>
      </c>
      <c r="G61" s="116">
        <f>(((D61*(1+Parâmetros!B11)*(1+Parâmetros!C11)*(1+Parâmetros!D11))+(E61*(1+Parâmetros!C11)*(1+Parâmetros!D11)+(F61*(1+Parâmetros!D11))))/3)*(1+Parâmetros!E11)</f>
        <v>0</v>
      </c>
      <c r="H61" s="116">
        <f>G61*(1+Parâmetros!F11)</f>
        <v>0</v>
      </c>
      <c r="I61" s="116">
        <f>H61*(1+Parâmetros!G11)</f>
        <v>0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</row>
    <row r="62" spans="1:177" ht="12.75">
      <c r="A62" s="114" t="s">
        <v>212</v>
      </c>
      <c r="B62" s="115" t="s">
        <v>213</v>
      </c>
      <c r="C62" s="45"/>
      <c r="D62" s="45">
        <v>6000</v>
      </c>
      <c r="E62" s="45">
        <v>0</v>
      </c>
      <c r="F62" s="45">
        <v>0</v>
      </c>
      <c r="G62" s="116">
        <f>(((D62*(1+Parâmetros!B11)*(1+Parâmetros!C11)*(1+Parâmetros!D11))+(E62*(1+Parâmetros!C11)*(1+Parâmetros!D11)+(F62*(1+Parâmetros!D11))))/3)*(1+Parâmetros!E11)</f>
        <v>2304.0885321526807</v>
      </c>
      <c r="H62" s="116">
        <f>G62*(1+Parâmetros!F11)</f>
        <v>2391.6438963744827</v>
      </c>
      <c r="I62" s="116">
        <f>H62*(1+Parâmetros!G11)</f>
        <v>2480.1347205403385</v>
      </c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</row>
    <row r="63" spans="1:177" ht="12.75">
      <c r="A63" s="114" t="s">
        <v>303</v>
      </c>
      <c r="B63" s="115" t="s">
        <v>304</v>
      </c>
      <c r="C63" s="45">
        <v>1267369.16</v>
      </c>
      <c r="D63" s="45">
        <v>1393054.81</v>
      </c>
      <c r="E63" s="45">
        <v>1438806.71</v>
      </c>
      <c r="F63" s="45">
        <v>1587885.12</v>
      </c>
      <c r="G63" s="116">
        <f>(((D63*(1+Parâmetros!B11)*(1+Parâmetros!C11)*(1+Parâmetros!D11))+(E63*(1+Parâmetros!C11)*(1+Parâmetros!D11)+(F63*(1+Parâmetros!D11))))/3)*(1+Parâmetros!E11)*(1+Parâmetros!E16)</f>
        <v>1635764.952575603</v>
      </c>
      <c r="H63" s="116">
        <f>G63*(1+Parâmetros!F11)*(1+Parâmetros!F16)</f>
        <v>1731167.9764859476</v>
      </c>
      <c r="I63" s="116">
        <f>H63*(1+Parâmetros!G11)*(1+Parâmetros!G16)</f>
        <v>1817359.5836583658</v>
      </c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</row>
    <row r="64" spans="1:177" ht="12.75">
      <c r="A64" s="114" t="s">
        <v>215</v>
      </c>
      <c r="B64" s="115" t="s">
        <v>216</v>
      </c>
      <c r="C64" s="45"/>
      <c r="D64" s="45">
        <v>0</v>
      </c>
      <c r="E64" s="45">
        <v>0</v>
      </c>
      <c r="F64" s="45">
        <v>0</v>
      </c>
      <c r="G64" s="116">
        <f>(((D64*(1+Parâmetros!B11)*(1+Parâmetros!C11)*(1+Parâmetros!D11))+(E64*(1+Parâmetros!C11)*(1+Parâmetros!D11)+(F64*(1+Parâmetros!D11))))/3)*(1+Parâmetros!E11)</f>
        <v>0</v>
      </c>
      <c r="H64" s="116">
        <f>G64*(1+Parâmetros!F11)</f>
        <v>0</v>
      </c>
      <c r="I64" s="116">
        <f>H64*(1+Parâmetros!G11)</f>
        <v>0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</row>
    <row r="65" spans="1:177" ht="12.75">
      <c r="A65" s="114" t="s">
        <v>217</v>
      </c>
      <c r="B65" s="115" t="s">
        <v>218</v>
      </c>
      <c r="C65" s="45">
        <v>659.39</v>
      </c>
      <c r="D65" s="45">
        <v>0</v>
      </c>
      <c r="E65" s="45">
        <v>0</v>
      </c>
      <c r="F65" s="45">
        <v>0</v>
      </c>
      <c r="G65" s="116">
        <f>(((D65*(1+Parâmetros!B11)*(1+Parâmetros!C11)*(1+Parâmetros!D11))+(E65*(1+Parâmetros!C11)*(1+Parâmetros!D11)+(F65*(1+Parâmetros!D11))))/3)*(1+Parâmetros!E11)</f>
        <v>0</v>
      </c>
      <c r="H65" s="116">
        <f>G65*(1+Parâmetros!F11)</f>
        <v>0</v>
      </c>
      <c r="I65" s="116">
        <f>H65*(1+Parâmetros!G11)</f>
        <v>0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</row>
    <row r="66" spans="1:177" s="7" customFormat="1" ht="12.75">
      <c r="A66" s="111" t="s">
        <v>219</v>
      </c>
      <c r="B66" s="112" t="s">
        <v>220</v>
      </c>
      <c r="C66" s="113">
        <f aca="true" t="shared" si="11" ref="C66:I66">C67+C68+C71</f>
        <v>114569.23</v>
      </c>
      <c r="D66" s="113">
        <f t="shared" si="11"/>
        <v>101890.59</v>
      </c>
      <c r="E66" s="113">
        <f t="shared" si="11"/>
        <v>79508.68</v>
      </c>
      <c r="F66" s="113">
        <f t="shared" si="11"/>
        <v>94587.12000000001</v>
      </c>
      <c r="G66" s="113">
        <f t="shared" si="11"/>
        <v>97857.70548654918</v>
      </c>
      <c r="H66" s="113">
        <f t="shared" si="11"/>
        <v>101576.29829503805</v>
      </c>
      <c r="I66" s="113">
        <f t="shared" si="11"/>
        <v>105334.62133195445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</row>
    <row r="67" spans="1:177" ht="12.75">
      <c r="A67" s="114" t="s">
        <v>221</v>
      </c>
      <c r="B67" s="115" t="s">
        <v>222</v>
      </c>
      <c r="C67" s="45">
        <v>16205.42</v>
      </c>
      <c r="D67" s="45">
        <v>15092.7</v>
      </c>
      <c r="E67" s="45">
        <v>8796.01</v>
      </c>
      <c r="F67" s="45">
        <v>5276.64</v>
      </c>
      <c r="G67" s="116">
        <f>(((D67*(1+Parâmetros!B11)*(1+Parâmetros!C11)*(1+Parâmetros!D11))+(E67*(1+Parâmetros!C11)*(1+Parâmetros!D11)+(F67*(1+Parâmetros!D11))))/3)*(1+Parâmetros!E11)</f>
        <v>10974.113308997428</v>
      </c>
      <c r="H67" s="116">
        <f>G67*(1+Parâmetros!F11)</f>
        <v>11391.129614739331</v>
      </c>
      <c r="I67" s="116">
        <f>H67*(1+Parâmetros!G11)</f>
        <v>11812.601410484685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</row>
    <row r="68" spans="1:177" ht="12.75">
      <c r="A68" s="193" t="s">
        <v>223</v>
      </c>
      <c r="B68" s="194" t="s">
        <v>224</v>
      </c>
      <c r="C68" s="195">
        <f aca="true" t="shared" si="12" ref="C68:I68">C69+C70</f>
        <v>43065.79</v>
      </c>
      <c r="D68" s="195">
        <f t="shared" si="12"/>
        <v>49242.74</v>
      </c>
      <c r="E68" s="195">
        <f t="shared" si="12"/>
        <v>69147.2</v>
      </c>
      <c r="F68" s="195">
        <f t="shared" si="12"/>
        <v>84177.96</v>
      </c>
      <c r="G68" s="195">
        <f t="shared" si="12"/>
        <v>74969.90260850606</v>
      </c>
      <c r="H68" s="195">
        <f t="shared" si="12"/>
        <v>77818.7589076293</v>
      </c>
      <c r="I68" s="195">
        <f t="shared" si="12"/>
        <v>80698.05298721157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</row>
    <row r="69" spans="1:177" ht="12.75">
      <c r="A69" s="114" t="s">
        <v>328</v>
      </c>
      <c r="B69" s="115" t="s">
        <v>329</v>
      </c>
      <c r="C69" s="45">
        <v>0</v>
      </c>
      <c r="D69" s="45">
        <v>0</v>
      </c>
      <c r="E69" s="45">
        <v>0</v>
      </c>
      <c r="F69" s="45">
        <v>0</v>
      </c>
      <c r="G69" s="195">
        <f>(((D69*(1+Parâmetros!B11)*(1+Parâmetros!C11)*(1+Parâmetros!D11))+(E69*(1+Parâmetros!C11)*(1+Parâmetros!D11)+(F69*(1+Parâmetros!D11))))/3)*(1+Parâmetros!E11)</f>
        <v>0</v>
      </c>
      <c r="H69" s="195">
        <f>G69*(1+Parâmetros!F11)</f>
        <v>0</v>
      </c>
      <c r="I69" s="195">
        <f>H69*(1+Parâmetros!G11)</f>
        <v>0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</row>
    <row r="70" spans="1:177" ht="12.75">
      <c r="A70" s="114" t="s">
        <v>330</v>
      </c>
      <c r="B70" s="115" t="s">
        <v>331</v>
      </c>
      <c r="C70" s="45">
        <v>43065.79</v>
      </c>
      <c r="D70" s="45">
        <v>49242.74</v>
      </c>
      <c r="E70" s="45">
        <v>69147.2</v>
      </c>
      <c r="F70" s="45">
        <v>84177.96</v>
      </c>
      <c r="G70" s="195">
        <f>(((D70*(1+Parâmetros!B11)*(1+Parâmetros!C11)*(1+Parâmetros!D11))+(E70*(1+Parâmetros!C11)*(1+Parâmetros!D11)+(F70*(1+Parâmetros!D11))))/3)*(1+Parâmetros!E11)</f>
        <v>74969.90260850606</v>
      </c>
      <c r="H70" s="195">
        <f>G70*(1+Parâmetros!F11)</f>
        <v>77818.7589076293</v>
      </c>
      <c r="I70" s="195">
        <f>H70*(1+Parâmetros!G11)</f>
        <v>80698.05298721157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</row>
    <row r="71" spans="1:177" s="7" customFormat="1" ht="12.75">
      <c r="A71" s="111" t="s">
        <v>225</v>
      </c>
      <c r="B71" s="112" t="s">
        <v>226</v>
      </c>
      <c r="C71" s="113">
        <f aca="true" t="shared" si="13" ref="C71:I71">C72+C73+C74+C75+C76+C77</f>
        <v>55298.02</v>
      </c>
      <c r="D71" s="113">
        <f t="shared" si="13"/>
        <v>37555.15</v>
      </c>
      <c r="E71" s="113">
        <f t="shared" si="13"/>
        <v>1565.47</v>
      </c>
      <c r="F71" s="113">
        <f t="shared" si="13"/>
        <v>5132.52</v>
      </c>
      <c r="G71" s="113">
        <f t="shared" si="13"/>
        <v>11913.68956904569</v>
      </c>
      <c r="H71" s="113">
        <f t="shared" si="13"/>
        <v>12366.409772669425</v>
      </c>
      <c r="I71" s="113">
        <f t="shared" si="13"/>
        <v>12823.966934258193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</row>
    <row r="72" spans="1:177" ht="25.5">
      <c r="A72" s="114" t="s">
        <v>227</v>
      </c>
      <c r="B72" s="115" t="s">
        <v>228</v>
      </c>
      <c r="C72" s="45">
        <v>0</v>
      </c>
      <c r="D72" s="45">
        <v>0</v>
      </c>
      <c r="E72" s="45">
        <v>0</v>
      </c>
      <c r="F72" s="45">
        <v>0</v>
      </c>
      <c r="G72" s="116">
        <f>(((D72*(1+Parâmetros!B11)*(1+Parâmetros!C11)*(1+Parâmetros!D11))+(E72*(1+Parâmetros!C11)*(1+Parâmetros!D11)+(F72*(1+Parâmetros!D11))))/3)*(1+Parâmetros!E11)</f>
        <v>0</v>
      </c>
      <c r="H72" s="116">
        <f>G72*(1+Parâmetros!F11)</f>
        <v>0</v>
      </c>
      <c r="I72" s="116">
        <f>H72*(1+Parâmetros!G11)</f>
        <v>0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</row>
    <row r="73" spans="1:177" ht="12.75">
      <c r="A73" s="114" t="s">
        <v>229</v>
      </c>
      <c r="B73" s="115" t="s">
        <v>230</v>
      </c>
      <c r="C73" s="45"/>
      <c r="D73" s="45"/>
      <c r="E73" s="45"/>
      <c r="F73" s="45"/>
      <c r="G73" s="116">
        <f>(((D73*(1+Parâmetros!B11)*(1+Parâmetros!C11)*(1+Parâmetros!D11))+(E73*(1+Parâmetros!C11)*(1+Parâmetros!D11)+(F73*(1+Parâmetros!D11))))/3)*(1+Parâmetros!E11)</f>
        <v>0</v>
      </c>
      <c r="H73" s="116">
        <f>G73*(1+Parâmetros!F11)</f>
        <v>0</v>
      </c>
      <c r="I73" s="116">
        <f>H73*(1+Parâmetros!G11)</f>
        <v>0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</row>
    <row r="74" spans="1:177" ht="12.75">
      <c r="A74" s="114" t="s">
        <v>332</v>
      </c>
      <c r="B74" s="115" t="s">
        <v>333</v>
      </c>
      <c r="C74" s="45">
        <v>0</v>
      </c>
      <c r="D74" s="45">
        <v>0</v>
      </c>
      <c r="E74" s="45">
        <v>0</v>
      </c>
      <c r="F74" s="45">
        <v>0</v>
      </c>
      <c r="G74" s="116">
        <f>((C74+D74+E74+F74)/4)/Parâmetros!D22*Parâmetros!E22</f>
        <v>0</v>
      </c>
      <c r="H74" s="116">
        <f>((D74+E74+F74+G74)/4)/Parâmetros!E22*Parâmetros!F22</f>
        <v>0</v>
      </c>
      <c r="I74" s="116">
        <f>((E74+F74+G74+H74)/4)/Parâmetros!F22*Parâmetros!G22</f>
        <v>0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</row>
    <row r="75" spans="1:177" ht="25.5">
      <c r="A75" s="114" t="s">
        <v>231</v>
      </c>
      <c r="B75" s="115" t="s">
        <v>232</v>
      </c>
      <c r="C75" s="45">
        <v>23421.26</v>
      </c>
      <c r="D75" s="45">
        <v>31254.62</v>
      </c>
      <c r="E75" s="45">
        <v>0</v>
      </c>
      <c r="F75" s="45">
        <v>0</v>
      </c>
      <c r="G75" s="116">
        <v>7064.79</v>
      </c>
      <c r="H75" s="116">
        <f>G75*(1+Parâmetros!F11)</f>
        <v>7333.25202</v>
      </c>
      <c r="I75" s="116">
        <f>H75*(1+Parâmetros!G11)</f>
        <v>7604.582344739999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</row>
    <row r="76" spans="1:177" ht="12.75">
      <c r="A76" s="114" t="s">
        <v>334</v>
      </c>
      <c r="B76" s="115" t="s">
        <v>335</v>
      </c>
      <c r="C76" s="45">
        <v>0</v>
      </c>
      <c r="D76" s="45">
        <v>0</v>
      </c>
      <c r="E76" s="45">
        <v>0</v>
      </c>
      <c r="F76" s="45">
        <v>0</v>
      </c>
      <c r="G76" s="116">
        <f>((C76+D76+E76+F76)/4)*(1+Parâmetros!E11)</f>
        <v>0</v>
      </c>
      <c r="H76" s="116">
        <f>((D76+E76+F76+G76)/4)*(1+Parâmetros!F11)</f>
        <v>0</v>
      </c>
      <c r="I76" s="116">
        <f>((E76+F76+G76+H76)/4)*(1+Parâmetros!G11)</f>
        <v>0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</row>
    <row r="77" spans="1:177" ht="12.75">
      <c r="A77" s="114" t="s">
        <v>233</v>
      </c>
      <c r="B77" s="115" t="s">
        <v>336</v>
      </c>
      <c r="C77" s="45">
        <v>31876.76</v>
      </c>
      <c r="D77" s="45">
        <v>6300.53</v>
      </c>
      <c r="E77" s="45">
        <v>1565.47</v>
      </c>
      <c r="F77" s="45">
        <v>5132.52</v>
      </c>
      <c r="G77" s="116">
        <f>(((D77*(1+Parâmetros!B11)*(1+Parâmetros!C11)*(1+Parâmetros!D11))+(E77*(1+Parâmetros!C11)*(1+Parâmetros!D11)+(F77*(1+Parâmetros!D11))))/3)*(1+Parâmetros!E11)</f>
        <v>4848.8995690456895</v>
      </c>
      <c r="H77" s="116">
        <f>G77*(1+Parâmetros!F11)</f>
        <v>5033.1577526694255</v>
      </c>
      <c r="I77" s="116">
        <f>H77*(1+Parâmetros!G11)</f>
        <v>5219.384589518194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</row>
    <row r="78" spans="1:177" s="10" customFormat="1" ht="18">
      <c r="A78" s="111" t="s">
        <v>234</v>
      </c>
      <c r="B78" s="112" t="s">
        <v>235</v>
      </c>
      <c r="C78" s="113">
        <f aca="true" t="shared" si="14" ref="C78:I78">C79+C80+C85+C86+C94</f>
        <v>445380.25</v>
      </c>
      <c r="D78" s="113">
        <f t="shared" si="14"/>
        <v>83054.36</v>
      </c>
      <c r="E78" s="113">
        <f t="shared" si="14"/>
        <v>327485.33</v>
      </c>
      <c r="F78" s="113">
        <f>F79+F80+F85+F86+F94</f>
        <v>1913817.72</v>
      </c>
      <c r="G78" s="113">
        <f>G79+G80+G85+G86+G94</f>
        <v>426737.8544495339</v>
      </c>
      <c r="H78" s="113">
        <f t="shared" si="14"/>
        <v>452893.7809186162</v>
      </c>
      <c r="I78" s="113">
        <f t="shared" si="14"/>
        <v>480050.53102023376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</row>
    <row r="79" spans="1:9" s="46" customFormat="1" ht="12.75">
      <c r="A79" s="114" t="s">
        <v>236</v>
      </c>
      <c r="B79" s="115" t="s">
        <v>237</v>
      </c>
      <c r="C79" s="45">
        <v>0</v>
      </c>
      <c r="D79" s="45">
        <v>0</v>
      </c>
      <c r="E79" s="45"/>
      <c r="F79" s="45">
        <v>1496637</v>
      </c>
      <c r="G79" s="116">
        <v>0</v>
      </c>
      <c r="H79" s="116">
        <v>0</v>
      </c>
      <c r="I79" s="116">
        <v>0</v>
      </c>
    </row>
    <row r="80" spans="1:177" s="7" customFormat="1" ht="12.75">
      <c r="A80" s="111" t="s">
        <v>238</v>
      </c>
      <c r="B80" s="112" t="s">
        <v>239</v>
      </c>
      <c r="C80" s="113">
        <f aca="true" t="shared" si="15" ref="C80:I80">C81+C82+C83+C84</f>
        <v>41500</v>
      </c>
      <c r="D80" s="113">
        <f t="shared" si="15"/>
        <v>0</v>
      </c>
      <c r="E80" s="113">
        <f t="shared" si="15"/>
        <v>0</v>
      </c>
      <c r="F80" s="113">
        <f t="shared" si="15"/>
        <v>0</v>
      </c>
      <c r="G80" s="113">
        <f t="shared" si="15"/>
        <v>45900</v>
      </c>
      <c r="H80" s="113">
        <f t="shared" si="15"/>
        <v>47644.200000000004</v>
      </c>
      <c r="I80" s="113">
        <f t="shared" si="15"/>
        <v>49407.0354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</row>
    <row r="81" spans="1:177" s="7" customFormat="1" ht="12.75">
      <c r="A81" s="114" t="s">
        <v>338</v>
      </c>
      <c r="B81" s="115" t="s">
        <v>339</v>
      </c>
      <c r="C81" s="196">
        <v>0</v>
      </c>
      <c r="D81" s="196">
        <v>0</v>
      </c>
      <c r="E81" s="196">
        <v>0</v>
      </c>
      <c r="F81" s="196">
        <v>0</v>
      </c>
      <c r="G81" s="116">
        <f>((C81+D81+E81+F81)/4)*(1+Parâmetros!E11)</f>
        <v>0</v>
      </c>
      <c r="H81" s="116">
        <f>((D81+E81+F81+G81)/4)*(1+Parâmetros!F11)</f>
        <v>0</v>
      </c>
      <c r="I81" s="116">
        <f>((E81+F81+G81+H81)/4)*(1+Parâmetros!G11)</f>
        <v>0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</row>
    <row r="82" spans="1:177" s="7" customFormat="1" ht="12.75">
      <c r="A82" s="114" t="s">
        <v>340</v>
      </c>
      <c r="B82" s="115" t="s">
        <v>341</v>
      </c>
      <c r="C82" s="196">
        <v>0</v>
      </c>
      <c r="D82" s="196">
        <v>0</v>
      </c>
      <c r="E82" s="196">
        <v>0</v>
      </c>
      <c r="F82" s="196">
        <v>0</v>
      </c>
      <c r="G82" s="116">
        <f>((C82+D82+E82+F82)/4)*(1+Parâmetros!E11)</f>
        <v>0</v>
      </c>
      <c r="H82" s="116">
        <f>((D82+E82+F82+G82)/4)*(1+Parâmetros!F11)</f>
        <v>0</v>
      </c>
      <c r="I82" s="116">
        <f>((E82+F82+G82+H82)/4)*(1+Parâmetros!G11)</f>
        <v>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</row>
    <row r="83" spans="1:9" s="46" customFormat="1" ht="12.75">
      <c r="A83" s="114" t="s">
        <v>240</v>
      </c>
      <c r="B83" s="115" t="s">
        <v>241</v>
      </c>
      <c r="C83" s="45">
        <v>41500</v>
      </c>
      <c r="D83" s="45">
        <v>0</v>
      </c>
      <c r="E83" s="45">
        <v>0</v>
      </c>
      <c r="F83" s="45">
        <v>0</v>
      </c>
      <c r="G83" s="116">
        <v>45900</v>
      </c>
      <c r="H83" s="116">
        <f>G83*(1+Parâmetros!F11)</f>
        <v>47644.200000000004</v>
      </c>
      <c r="I83" s="116">
        <f>H83*(1+Parâmetros!G11)</f>
        <v>49407.0354</v>
      </c>
    </row>
    <row r="84" spans="1:9" s="46" customFormat="1" ht="12.75">
      <c r="A84" s="114" t="s">
        <v>242</v>
      </c>
      <c r="B84" s="115" t="s">
        <v>243</v>
      </c>
      <c r="C84" s="45">
        <v>0</v>
      </c>
      <c r="D84" s="45">
        <v>0</v>
      </c>
      <c r="E84" s="45">
        <v>0</v>
      </c>
      <c r="F84" s="45">
        <v>0</v>
      </c>
      <c r="G84" s="116">
        <f>(((D84*(1+Parâmetros!B11)*(1+Parâmetros!C11)*(1+Parâmetros!D11))+(E84*(1+Parâmetros!C11)*(1+Parâmetros!D11)+(F84*(1+Parâmetros!D11))))/3)*(1+Parâmetros!E11)</f>
        <v>0</v>
      </c>
      <c r="H84" s="116">
        <f>G84*(1+Parâmetros!F11)</f>
        <v>0</v>
      </c>
      <c r="I84" s="116">
        <f>H84*(1+Parâmetros!G11)</f>
        <v>0</v>
      </c>
    </row>
    <row r="85" spans="1:9" s="46" customFormat="1" ht="12.75">
      <c r="A85" s="114" t="s">
        <v>244</v>
      </c>
      <c r="B85" s="115" t="s">
        <v>245</v>
      </c>
      <c r="C85" s="45">
        <v>0</v>
      </c>
      <c r="D85" s="45">
        <v>0</v>
      </c>
      <c r="E85" s="45">
        <v>0</v>
      </c>
      <c r="F85" s="45">
        <v>0</v>
      </c>
      <c r="G85" s="116">
        <f>(((D85*(1+Parâmetros!B11)*(1+Parâmetros!C11)*(1+Parâmetros!D11))+(E85*(1+Parâmetros!C11)*(1+Parâmetros!D11)+(F85*(1+Parâmetros!D11))))/3)*(1+Parâmetros!E11)</f>
        <v>0</v>
      </c>
      <c r="H85" s="116">
        <f>G85*(1+Parâmetros!F11)</f>
        <v>0</v>
      </c>
      <c r="I85" s="116">
        <f>H85*(1+Parâmetros!G11)</f>
        <v>0</v>
      </c>
    </row>
    <row r="86" spans="1:177" s="7" customFormat="1" ht="12.75">
      <c r="A86" s="111" t="s">
        <v>246</v>
      </c>
      <c r="B86" s="112" t="s">
        <v>247</v>
      </c>
      <c r="C86" s="113">
        <f aca="true" t="shared" si="16" ref="C86:I86">C87+C88+C89+C90+C91+C92+C93</f>
        <v>401562.75</v>
      </c>
      <c r="D86" s="113">
        <f t="shared" si="16"/>
        <v>81587.34</v>
      </c>
      <c r="E86" s="113">
        <f t="shared" si="16"/>
        <v>327084.31</v>
      </c>
      <c r="F86" s="113">
        <f t="shared" si="16"/>
        <v>416833.32</v>
      </c>
      <c r="G86" s="113">
        <f t="shared" si="16"/>
        <v>380000</v>
      </c>
      <c r="H86" s="113">
        <f t="shared" si="16"/>
        <v>404379.888</v>
      </c>
      <c r="I86" s="113">
        <f t="shared" si="16"/>
        <v>429741.6240636287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</row>
    <row r="87" spans="1:177" ht="12.75">
      <c r="A87" s="114" t="s">
        <v>248</v>
      </c>
      <c r="B87" s="115" t="s">
        <v>168</v>
      </c>
      <c r="C87" s="45">
        <v>401562.75</v>
      </c>
      <c r="D87" s="45">
        <v>81587.34</v>
      </c>
      <c r="E87" s="45">
        <v>327084.31</v>
      </c>
      <c r="F87" s="45">
        <v>416833.32</v>
      </c>
      <c r="G87" s="116">
        <v>380000</v>
      </c>
      <c r="H87" s="116">
        <f>G87*(1+Parâmetros!F11)*(1+Parâmetros!F12)</f>
        <v>404379.888</v>
      </c>
      <c r="I87" s="116">
        <f>H87*(1+Parâmetros!G11)*(1+Parâmetros!G12)</f>
        <v>429741.6240636287</v>
      </c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</row>
    <row r="88" spans="1:177" ht="12.75">
      <c r="A88" s="114" t="s">
        <v>249</v>
      </c>
      <c r="B88" s="115" t="s">
        <v>190</v>
      </c>
      <c r="C88" s="45">
        <v>0</v>
      </c>
      <c r="D88" s="45">
        <v>0</v>
      </c>
      <c r="E88" s="45">
        <v>0</v>
      </c>
      <c r="F88" s="45">
        <v>0</v>
      </c>
      <c r="G88" s="116">
        <f>(((D88*(1+Parâmetros!B11)*(1+Parâmetros!C11)*(1+Parâmetros!D11))+(E88*(1+Parâmetros!C11)*(1+Parâmetros!D11)+(F88*(1+Parâmetros!D11))))/3)*(1+Parâmetros!E11)*(1+Parâmetros!E12)</f>
        <v>0</v>
      </c>
      <c r="H88" s="116">
        <f>G88*(1+Parâmetros!F11)*(1+Parâmetros!F12)</f>
        <v>0</v>
      </c>
      <c r="I88" s="116">
        <f>H88*(1+Parâmetros!G11)*(1+Parâmetros!G12)</f>
        <v>0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</row>
    <row r="89" spans="1:177" ht="12.75">
      <c r="A89" s="114" t="s">
        <v>250</v>
      </c>
      <c r="B89" s="115" t="s">
        <v>211</v>
      </c>
      <c r="C89" s="45">
        <v>0</v>
      </c>
      <c r="D89" s="45">
        <v>0</v>
      </c>
      <c r="E89" s="45">
        <v>0</v>
      </c>
      <c r="F89" s="45">
        <v>0</v>
      </c>
      <c r="G89" s="116">
        <f>(((D89*(1+Parâmetros!B11)*(1+Parâmetros!C11)*(1+Parâmetros!D11))+(E89*(1+Parâmetros!C11)*(1+Parâmetros!D11)+(F89*(1+Parâmetros!D11))))/3)*(1+Parâmetros!E11)*(1+Parâmetros!E12)</f>
        <v>0</v>
      </c>
      <c r="H89" s="116">
        <f>G89*(1+Parâmetros!F11)*(1+Parâmetros!F12)</f>
        <v>0</v>
      </c>
      <c r="I89" s="116">
        <f>H89*(1+Parâmetros!G11)*(1+Parâmetros!G12)</f>
        <v>0</v>
      </c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</row>
    <row r="90" spans="1:177" ht="12.75">
      <c r="A90" s="114" t="s">
        <v>251</v>
      </c>
      <c r="B90" s="115" t="s">
        <v>213</v>
      </c>
      <c r="C90" s="45">
        <v>0</v>
      </c>
      <c r="D90" s="45">
        <v>0</v>
      </c>
      <c r="E90" s="45">
        <v>0</v>
      </c>
      <c r="F90" s="45">
        <v>0</v>
      </c>
      <c r="G90" s="116">
        <f>(((D90*(1+Parâmetros!B11)*(1+Parâmetros!C11)*(1+Parâmetros!D11))+(E90*(1+Parâmetros!C11)*(1+Parâmetros!D11)+(F90*(1+Parâmetros!D11))))/3)*(1+Parâmetros!E11)*(1+Parâmetros!E12)</f>
        <v>0</v>
      </c>
      <c r="H90" s="116">
        <f>G90*(1+Parâmetros!F11)*(1+Parâmetros!F12)</f>
        <v>0</v>
      </c>
      <c r="I90" s="116">
        <f>H90*(1+Parâmetros!G11)*(1+Parâmetros!G12)</f>
        <v>0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</row>
    <row r="91" spans="1:177" ht="12.75">
      <c r="A91" s="114" t="s">
        <v>252</v>
      </c>
      <c r="B91" s="115" t="s">
        <v>214</v>
      </c>
      <c r="C91" s="45">
        <v>0</v>
      </c>
      <c r="D91" s="45">
        <v>0</v>
      </c>
      <c r="E91" s="45">
        <v>0</v>
      </c>
      <c r="F91" s="45">
        <v>0</v>
      </c>
      <c r="G91" s="116">
        <f>(((D91*(1+Parâmetros!B11)*(1+Parâmetros!C11)*(1+Parâmetros!D11))+(E91*(1+Parâmetros!C11)*(1+Parâmetros!D11)+(F91*(1+Parâmetros!D11))))/3)*(1+Parâmetros!E11)*(1+Parâmetros!E12)</f>
        <v>0</v>
      </c>
      <c r="H91" s="116">
        <f>G91:G92*(1+Parâmetros!F11)*(1+Parâmetros!F12)</f>
        <v>0</v>
      </c>
      <c r="I91" s="116">
        <f>H91:H92*(1+Parâmetros!G11)*(1+Parâmetros!G12)</f>
        <v>0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</row>
    <row r="92" spans="1:177" ht="12.75">
      <c r="A92" s="114" t="s">
        <v>253</v>
      </c>
      <c r="B92" s="115" t="s">
        <v>216</v>
      </c>
      <c r="C92" s="45">
        <v>0</v>
      </c>
      <c r="D92" s="45">
        <v>0</v>
      </c>
      <c r="E92" s="45">
        <v>0</v>
      </c>
      <c r="F92" s="45">
        <v>0</v>
      </c>
      <c r="G92" s="116">
        <f>(((D92*(1+Parâmetros!B11)*(1+Parâmetros!C11)*(1+Parâmetros!D11))+(E92*(1+Parâmetros!C11)*(1+Parâmetros!D11)+(F92*(1+Parâmetros!D11))))/3)*(1+Parâmetros!E11)*(1+Parâmetros!E12)</f>
        <v>0</v>
      </c>
      <c r="H92" s="116">
        <f>G92*(1+Parâmetros!F11)*(1+Parâmetros!F12)</f>
        <v>0</v>
      </c>
      <c r="I92" s="116">
        <f>H92*(1+Parâmetros!G11)*(1+Parâmetros!G12)</f>
        <v>0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</row>
    <row r="93" spans="1:177" ht="12.75">
      <c r="A93" s="114" t="s">
        <v>254</v>
      </c>
      <c r="B93" s="115" t="s">
        <v>218</v>
      </c>
      <c r="C93" s="45">
        <v>0</v>
      </c>
      <c r="D93" s="45">
        <v>0</v>
      </c>
      <c r="E93" s="45">
        <v>0</v>
      </c>
      <c r="F93" s="45">
        <v>0</v>
      </c>
      <c r="G93" s="116">
        <f>(((D93*(1+Parâmetros!B11)*(1+Parâmetros!C11)*(1+Parâmetros!D11))+(E93*(1+Parâmetros!C11)*(1+Parâmetros!D11)+(F93*(1+Parâmetros!D11))))/3)*(1+Parâmetros!E11)*(1+Parâmetros!E12)</f>
        <v>0</v>
      </c>
      <c r="H93" s="116">
        <f>G93*(1+Parâmetros!F11)*(1+Parâmetros!F12)</f>
        <v>0</v>
      </c>
      <c r="I93" s="116">
        <f>H93*(1+Parâmetros!G11)*(1+Parâmetros!G12)</f>
        <v>0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</row>
    <row r="94" spans="1:177" s="7" customFormat="1" ht="12.75">
      <c r="A94" s="111" t="s">
        <v>255</v>
      </c>
      <c r="B94" s="112" t="s">
        <v>256</v>
      </c>
      <c r="C94" s="113">
        <f aca="true" t="shared" si="17" ref="C94:I94">C95+C96</f>
        <v>2317.5</v>
      </c>
      <c r="D94" s="113">
        <f t="shared" si="17"/>
        <v>1467.02</v>
      </c>
      <c r="E94" s="113">
        <f t="shared" si="17"/>
        <v>401.02</v>
      </c>
      <c r="F94" s="113">
        <f t="shared" si="17"/>
        <v>347.4</v>
      </c>
      <c r="G94" s="113">
        <f t="shared" si="17"/>
        <v>837.8544495339344</v>
      </c>
      <c r="H94" s="113">
        <f t="shared" si="17"/>
        <v>869.6929186162239</v>
      </c>
      <c r="I94" s="113">
        <f t="shared" si="17"/>
        <v>901.8715566050241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</row>
    <row r="95" spans="1:177" ht="12.75">
      <c r="A95" s="114" t="s">
        <v>257</v>
      </c>
      <c r="B95" s="117" t="s">
        <v>258</v>
      </c>
      <c r="C95" s="45">
        <v>0</v>
      </c>
      <c r="D95" s="45">
        <v>0</v>
      </c>
      <c r="E95" s="45">
        <v>0</v>
      </c>
      <c r="F95" s="45">
        <v>0</v>
      </c>
      <c r="G95" s="116">
        <f>(((D95*(1+Parâmetros!B11)*(1+Parâmetros!C11)*(1+Parâmetros!D11))+(E95*(1+Parâmetros!C11)*(1+Parâmetros!D11)+(F95*(1+Parâmetros!D11))))/3)*(1+Parâmetros!E11)</f>
        <v>0</v>
      </c>
      <c r="H95" s="116">
        <f>G95*(1+Parâmetros!F11)</f>
        <v>0</v>
      </c>
      <c r="I95" s="116">
        <f>H95*(1+Parâmetros!G11)</f>
        <v>0</v>
      </c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</row>
    <row r="96" spans="1:177" ht="12.75">
      <c r="A96" s="114" t="s">
        <v>259</v>
      </c>
      <c r="B96" s="117" t="s">
        <v>260</v>
      </c>
      <c r="C96" s="45">
        <v>2317.5</v>
      </c>
      <c r="D96" s="45">
        <v>1467.02</v>
      </c>
      <c r="E96" s="45">
        <v>401.02</v>
      </c>
      <c r="F96" s="45">
        <v>347.4</v>
      </c>
      <c r="G96" s="116">
        <f>(((D96*(1+Parâmetros!B11)*(1+Parâmetros!C11)*(1+Parâmetros!D11))+(E96*(1+Parâmetros!C11)*(1+Parâmetros!D11)+(F96*(1+Parâmetros!D11))))/3)*(1+Parâmetros!E11)</f>
        <v>837.8544495339344</v>
      </c>
      <c r="H96" s="116">
        <f>G96*(1+Parâmetros!F11)</f>
        <v>869.6929186162239</v>
      </c>
      <c r="I96" s="116">
        <f>H96*(1+Parâmetros!G11)</f>
        <v>901.8715566050241</v>
      </c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</row>
    <row r="97" spans="1:9" s="49" customFormat="1" ht="18">
      <c r="A97" s="118" t="s">
        <v>261</v>
      </c>
      <c r="B97" s="115" t="s">
        <v>347</v>
      </c>
      <c r="C97" s="45">
        <v>0</v>
      </c>
      <c r="D97" s="45">
        <v>0</v>
      </c>
      <c r="E97" s="45">
        <v>0</v>
      </c>
      <c r="F97" s="45">
        <v>0</v>
      </c>
      <c r="G97" s="116">
        <f>(((D97*(1+Parâmetros!B11)*(1+Parâmetros!C11)*(1+Parâmetros!D11))+(E97*(1+Parâmetros!C11)*(1+Parâmetros!D11)+(F97*(1+Parâmetros!D11))))/3)*(1+Parâmetros!E11)*(1+Parâmetros!E13)*(1+Parâmetros!E18)</f>
        <v>0</v>
      </c>
      <c r="H97" s="116">
        <f>G97*(1+Parâmetros!F11)*(1+Parâmetros!F13)*(1+Parâmetros!F18)</f>
        <v>0</v>
      </c>
      <c r="I97" s="116">
        <f>H97*(1+Parâmetros!G11)*(1+Parâmetros!G13)*(1+Parâmetros!G18)</f>
        <v>0</v>
      </c>
    </row>
    <row r="98" spans="1:9" s="49" customFormat="1" ht="18">
      <c r="A98" s="114" t="s">
        <v>262</v>
      </c>
      <c r="B98" s="115" t="s">
        <v>263</v>
      </c>
      <c r="C98" s="45">
        <v>0</v>
      </c>
      <c r="D98" s="45">
        <v>0</v>
      </c>
      <c r="E98" s="45">
        <v>0</v>
      </c>
      <c r="F98" s="45">
        <v>0</v>
      </c>
      <c r="G98" s="116">
        <f>(((D98*(1+Parâmetros!B11)*(1+Parâmetros!C11)*(1+Parâmetros!D11))+(E98*(1+Parâmetros!C11)*(1+Parâmetros!D11)+(F98*(1+Parâmetros!D11))))/3)*(1+Parâmetros!E11)</f>
        <v>0</v>
      </c>
      <c r="H98" s="116"/>
      <c r="I98" s="116"/>
    </row>
    <row r="99" spans="1:177" s="10" customFormat="1" ht="30.75" customHeight="1">
      <c r="A99" s="111" t="s">
        <v>264</v>
      </c>
      <c r="B99" s="112" t="s">
        <v>343</v>
      </c>
      <c r="C99" s="113">
        <f aca="true" t="shared" si="18" ref="C99:I99">C100+C101+C102+C103</f>
        <v>-2150062.4</v>
      </c>
      <c r="D99" s="113">
        <f t="shared" si="18"/>
        <v>-2121218.69</v>
      </c>
      <c r="E99" s="113">
        <f t="shared" si="18"/>
        <v>-2289794.0100000002</v>
      </c>
      <c r="F99" s="113">
        <f t="shared" si="18"/>
        <v>-2377288.68</v>
      </c>
      <c r="G99" s="113">
        <f t="shared" si="18"/>
        <v>-2624479.3583278707</v>
      </c>
      <c r="H99" s="113">
        <f t="shared" si="18"/>
        <v>-2813695.0538956756</v>
      </c>
      <c r="I99" s="113">
        <f t="shared" si="18"/>
        <v>-2999131.557253113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</row>
    <row r="100" spans="1:177" ht="12.75">
      <c r="A100" s="114" t="s">
        <v>265</v>
      </c>
      <c r="B100" s="115" t="s">
        <v>344</v>
      </c>
      <c r="C100" s="32">
        <v>0</v>
      </c>
      <c r="D100" s="32">
        <v>0</v>
      </c>
      <c r="E100" s="32">
        <v>0</v>
      </c>
      <c r="F100" s="32">
        <v>0</v>
      </c>
      <c r="G100" s="116">
        <f>(((D100*(1+Parâmetros!B11)*(1+Parâmetros!C11)*(1+Parâmetros!D11))+(E100*(1+Parâmetros!C11)*(1+Parâmetros!D11)+(F100*(1+Parâmetros!D11))))/3)*(1+Parâmetros!E11)</f>
        <v>0</v>
      </c>
      <c r="H100" s="116">
        <f>G100*(1+Parâmetros!F11)</f>
        <v>0</v>
      </c>
      <c r="I100" s="116">
        <f>H100*(1+Parâmetros!G11)</f>
        <v>0</v>
      </c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</row>
    <row r="101" spans="1:177" ht="12.75">
      <c r="A101" s="111" t="s">
        <v>266</v>
      </c>
      <c r="B101" s="112" t="s">
        <v>267</v>
      </c>
      <c r="C101" s="120">
        <v>-2134293.78</v>
      </c>
      <c r="D101" s="120">
        <v>-2118883.41</v>
      </c>
      <c r="E101" s="120">
        <v>-2286952.1</v>
      </c>
      <c r="F101" s="120">
        <v>-2371257.12</v>
      </c>
      <c r="G101" s="120">
        <f>-((G41+G44+G49+G52+G53+G54)*0.2)</f>
        <v>-2620353.785433133</v>
      </c>
      <c r="H101" s="120">
        <f>-((H41+H44+H49+H52+H53+H54)*0.2)</f>
        <v>-2809412.709230938</v>
      </c>
      <c r="I101" s="120">
        <f>-((I41+I44+I49+I52+I53+I54)*0.2)</f>
        <v>-2994690.76583578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</row>
    <row r="102" spans="1:177" ht="12.75">
      <c r="A102" s="114" t="s">
        <v>268</v>
      </c>
      <c r="B102" s="115" t="s">
        <v>345</v>
      </c>
      <c r="C102" s="32">
        <v>-15768.62</v>
      </c>
      <c r="D102" s="32">
        <v>-2335.28</v>
      </c>
      <c r="E102" s="32">
        <v>-2841.91</v>
      </c>
      <c r="F102" s="32">
        <v>-6031.56</v>
      </c>
      <c r="G102" s="116">
        <f>(((D102*(1+Parâmetros!B11)*(1+Parâmetros!C11)*(1+Parâmetros!D11))+(E102*(1+Parâmetros!C11)*(1+Parâmetros!D11)+(F102*(1+Parâmetros!D11))))/3)*(1+Parâmetros!E11)</f>
        <v>-4125.572894737576</v>
      </c>
      <c r="H102" s="116">
        <f>G102*(1+Parâmetros!F11)</f>
        <v>-4282.344664737603</v>
      </c>
      <c r="I102" s="116">
        <f>H102*(1+Parâmetros!G11)</f>
        <v>-4440.7914173328945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</row>
    <row r="103" spans="1:177" ht="12.75">
      <c r="A103" s="114" t="s">
        <v>269</v>
      </c>
      <c r="B103" s="115" t="s">
        <v>346</v>
      </c>
      <c r="C103" s="32">
        <v>0</v>
      </c>
      <c r="D103" s="32">
        <v>0</v>
      </c>
      <c r="E103" s="32">
        <v>0</v>
      </c>
      <c r="F103" s="32">
        <v>0</v>
      </c>
      <c r="G103" s="116">
        <f>(((D103*(1+Parâmetros!B11)*(1+Parâmetros!C11)*(1+Parâmetros!D11))+(E103*(1+Parâmetros!C11)*(1+Parâmetros!D11)+(F103*(1+Parâmetros!D11))))/3)*(1+Parâmetros!E11)</f>
        <v>0</v>
      </c>
      <c r="H103" s="116">
        <f>G103*(1+Parâmetros!F11)</f>
        <v>0</v>
      </c>
      <c r="I103" s="116">
        <f>H103*(1+Parâmetros!G11)</f>
        <v>0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</row>
    <row r="104" spans="1:177" ht="12.75">
      <c r="A104" s="121"/>
      <c r="B104" s="122"/>
      <c r="C104" s="119"/>
      <c r="D104" s="119"/>
      <c r="E104" s="119"/>
      <c r="F104" s="119"/>
      <c r="G104" s="116"/>
      <c r="H104" s="116"/>
      <c r="I104" s="11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</row>
    <row r="105" spans="1:177" s="9" customFormat="1" ht="25.5" customHeight="1">
      <c r="A105" s="123"/>
      <c r="B105" s="124" t="s">
        <v>323</v>
      </c>
      <c r="C105" s="120">
        <f aca="true" t="shared" si="19" ref="C105:I105">C8+C78+C97+C98+C99</f>
        <v>13220735.260000004</v>
      </c>
      <c r="D105" s="120">
        <f t="shared" si="19"/>
        <v>13046286.680000002</v>
      </c>
      <c r="E105" s="120">
        <f t="shared" si="19"/>
        <v>14219657.030000003</v>
      </c>
      <c r="F105" s="120">
        <f t="shared" si="19"/>
        <v>16906970.139999997</v>
      </c>
      <c r="G105" s="120">
        <f t="shared" si="19"/>
        <v>16099999.999325233</v>
      </c>
      <c r="H105" s="120">
        <f t="shared" si="19"/>
        <v>17081845.59724521</v>
      </c>
      <c r="I105" s="120">
        <f t="shared" si="19"/>
        <v>18054576.40530125</v>
      </c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</row>
    <row r="106" spans="1:177" ht="13.5" customHeight="1">
      <c r="A106" s="39"/>
      <c r="B106" s="39"/>
      <c r="C106" s="40"/>
      <c r="D106" s="40"/>
      <c r="E106" s="40"/>
      <c r="F106" s="40"/>
      <c r="G106" s="66"/>
      <c r="H106" s="66"/>
      <c r="I106" s="6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</row>
    <row r="107" spans="1:177" ht="15.75">
      <c r="A107" s="235" t="str">
        <f>Parâmetros!A7</f>
        <v>Município de : JACUIZINHO RS</v>
      </c>
      <c r="B107" s="233"/>
      <c r="C107" s="233"/>
      <c r="D107" s="233"/>
      <c r="E107" s="233"/>
      <c r="F107" s="233"/>
      <c r="G107" s="233"/>
      <c r="H107" s="233"/>
      <c r="I107" s="233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</row>
    <row r="108" spans="1:177" ht="15.75">
      <c r="A108" s="234" t="str">
        <f>Parâmetros!A8</f>
        <v>LEI ORÇAMENTÁRIA PARA 2020</v>
      </c>
      <c r="B108" s="233"/>
      <c r="C108" s="233"/>
      <c r="D108" s="233"/>
      <c r="E108" s="233"/>
      <c r="F108" s="233"/>
      <c r="G108" s="233"/>
      <c r="H108" s="233"/>
      <c r="I108" s="233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</row>
    <row r="109" spans="1:177" ht="15.75">
      <c r="A109" s="231" t="s">
        <v>322</v>
      </c>
      <c r="B109" s="233"/>
      <c r="C109" s="233"/>
      <c r="D109" s="233"/>
      <c r="E109" s="233"/>
      <c r="F109" s="233"/>
      <c r="G109" s="233"/>
      <c r="H109" s="233"/>
      <c r="I109" s="233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</row>
    <row r="110" spans="1:177" ht="16.5" customHeight="1">
      <c r="A110" s="227" t="s">
        <v>392</v>
      </c>
      <c r="B110" s="227"/>
      <c r="C110" s="227"/>
      <c r="D110" s="227"/>
      <c r="E110" s="227"/>
      <c r="F110" s="227"/>
      <c r="G110" s="227"/>
      <c r="H110" s="227"/>
      <c r="I110" s="227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</row>
    <row r="111" spans="1:177" s="1" customFormat="1" ht="15.75">
      <c r="A111" s="128"/>
      <c r="B111" s="129" t="s">
        <v>0</v>
      </c>
      <c r="C111" s="130" t="s">
        <v>320</v>
      </c>
      <c r="D111" s="130" t="s">
        <v>320</v>
      </c>
      <c r="E111" s="130" t="s">
        <v>320</v>
      </c>
      <c r="F111" s="131" t="s">
        <v>321</v>
      </c>
      <c r="G111" s="131" t="s">
        <v>9</v>
      </c>
      <c r="H111" s="132" t="s">
        <v>9</v>
      </c>
      <c r="I111" s="133" t="s">
        <v>9</v>
      </c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</row>
    <row r="112" spans="1:177" s="1" customFormat="1" ht="27.75" customHeight="1">
      <c r="A112" s="134"/>
      <c r="B112" s="135" t="s">
        <v>7</v>
      </c>
      <c r="C112" s="136">
        <f>C7</f>
        <v>2016</v>
      </c>
      <c r="D112" s="137">
        <f aca="true" t="shared" si="20" ref="D112:I112">C112+1</f>
        <v>2017</v>
      </c>
      <c r="E112" s="137">
        <f t="shared" si="20"/>
        <v>2018</v>
      </c>
      <c r="F112" s="137">
        <f t="shared" si="20"/>
        <v>2019</v>
      </c>
      <c r="G112" s="137">
        <f t="shared" si="20"/>
        <v>2020</v>
      </c>
      <c r="H112" s="137">
        <f t="shared" si="20"/>
        <v>2021</v>
      </c>
      <c r="I112" s="137">
        <f t="shared" si="20"/>
        <v>2022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</row>
    <row r="113" spans="1:177" s="51" customFormat="1" ht="15.75">
      <c r="A113" s="125" t="s">
        <v>31</v>
      </c>
      <c r="B113" s="126" t="s">
        <v>1</v>
      </c>
      <c r="C113" s="127">
        <f aca="true" t="shared" si="21" ref="C113:I113">C114+C119+C124</f>
        <v>12122669.940000001</v>
      </c>
      <c r="D113" s="127">
        <f t="shared" si="21"/>
        <v>12896392.11</v>
      </c>
      <c r="E113" s="127">
        <f t="shared" si="21"/>
        <v>13947435.719999999</v>
      </c>
      <c r="F113" s="127">
        <f t="shared" si="21"/>
        <v>13728284.18</v>
      </c>
      <c r="G113" s="127">
        <f t="shared" si="21"/>
        <v>15332756.690637864</v>
      </c>
      <c r="H113" s="127">
        <f t="shared" si="21"/>
        <v>15801605.470210742</v>
      </c>
      <c r="I113" s="127">
        <f t="shared" si="21"/>
        <v>16051163.943573307</v>
      </c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</row>
    <row r="114" spans="1:177" s="51" customFormat="1" ht="15.75">
      <c r="A114" s="125" t="s">
        <v>32</v>
      </c>
      <c r="B114" s="126" t="s">
        <v>33</v>
      </c>
      <c r="C114" s="127">
        <f aca="true" t="shared" si="22" ref="C114:I114">C115+C116+C117+C118</f>
        <v>7309090.9</v>
      </c>
      <c r="D114" s="127">
        <f t="shared" si="22"/>
        <v>7795037.39</v>
      </c>
      <c r="E114" s="127">
        <f t="shared" si="22"/>
        <v>8316496.47</v>
      </c>
      <c r="F114" s="127">
        <f t="shared" si="22"/>
        <v>8451129</v>
      </c>
      <c r="G114" s="127">
        <f t="shared" si="22"/>
        <v>9269669.705516225</v>
      </c>
      <c r="H114" s="127">
        <f t="shared" si="22"/>
        <v>9693466.608298082</v>
      </c>
      <c r="I114" s="127">
        <f t="shared" si="22"/>
        <v>10052956.100556837</v>
      </c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</row>
    <row r="115" spans="1:177" s="8" customFormat="1" ht="15">
      <c r="A115" s="138" t="s">
        <v>32</v>
      </c>
      <c r="B115" s="139" t="s">
        <v>270</v>
      </c>
      <c r="C115" s="50">
        <v>6852369.29</v>
      </c>
      <c r="D115" s="50">
        <v>7329073.5</v>
      </c>
      <c r="E115" s="50">
        <v>7835967.77</v>
      </c>
      <c r="F115" s="50">
        <v>7968718.56</v>
      </c>
      <c r="G115" s="116">
        <f>(((D115*(1+Parâmetros!B11)*(1+Parâmetros!C11)*(1+Parâmetros!D11))+(E115*(1+Parâmetros!C11)*(1+Parâmetros!D11)+(F115*(1+Parâmetros!D11))))/3)*(1+Parâmetros!E11)*(1+Parâmetros!E13)*(1+Parâmetros!E18)</f>
        <v>8730152.517460667</v>
      </c>
      <c r="H115" s="140">
        <f>G115*(1+Parâmetros!F11)*(1+Parâmetros!F13)*(1+Parâmetros!F18)</f>
        <v>9129283.415890777</v>
      </c>
      <c r="I115" s="140">
        <f>H115*(1+Parâmetros!G11)*(1+Parâmetros!G13)*(1+Parâmetros!G18)</f>
        <v>9467849.75056566</v>
      </c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</row>
    <row r="116" spans="1:177" s="8" customFormat="1" ht="15">
      <c r="A116" s="138" t="s">
        <v>32</v>
      </c>
      <c r="B116" s="139" t="s">
        <v>271</v>
      </c>
      <c r="C116" s="50">
        <v>456721.61</v>
      </c>
      <c r="D116" s="50">
        <v>465963.89</v>
      </c>
      <c r="E116" s="50">
        <v>480528.7</v>
      </c>
      <c r="F116" s="50">
        <v>482410.44</v>
      </c>
      <c r="G116" s="116">
        <f>(((D116*(1+Parâmetros!B11)*(1+Parâmetros!C11)*(1+Parâmetros!D11))+(E116*(1+Parâmetros!C11)*(1+Parâmetros!D11)+(F116*(1+Parâmetros!D11))))/3)*(1+Parâmetros!E11)*(1+Parâmetros!E13)*(1+Parâmetros!E19)</f>
        <v>539517.1880555579</v>
      </c>
      <c r="H116" s="140">
        <f>G116*(1+Parâmetros!F11)*(1+Parâmetros!F13)*(1+Parâmetros!F19)</f>
        <v>564183.1924073051</v>
      </c>
      <c r="I116" s="140">
        <f>H116*(1+Parâmetros!G11)*(1+Parâmetros!G13)*(1+Parâmetros!G19)</f>
        <v>585106.3499911773</v>
      </c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</row>
    <row r="117" spans="1:177" s="8" customFormat="1" ht="14.25" customHeight="1">
      <c r="A117" s="138" t="s">
        <v>32</v>
      </c>
      <c r="B117" s="139" t="s">
        <v>110</v>
      </c>
      <c r="C117" s="50"/>
      <c r="D117" s="50"/>
      <c r="E117" s="50"/>
      <c r="F117" s="50"/>
      <c r="G117" s="116">
        <f>(((D117*(1+Parâmetros!B11)*(1+Parâmetros!C11)*(1+Parâmetros!D11))+(E117*(1+Parâmetros!C11)*(1+Parâmetros!D11)+(F117*(1+Parâmetros!D11))))/3)*(1+Parâmetros!E11)*(1+Parâmetros!E13)*(1+Parâmetros!E18)</f>
        <v>0</v>
      </c>
      <c r="H117" s="140">
        <f>G117*(1+Parâmetros!F11)*(1+Parâmetros!F13)*(1+Parâmetros!F18)</f>
        <v>0</v>
      </c>
      <c r="I117" s="140">
        <f>H117*(1+Parâmetros!G11)*(1+Parâmetros!G13)*(1+Parâmetros!G18)</f>
        <v>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</row>
    <row r="118" spans="1:177" s="214" customFormat="1" ht="14.25" customHeight="1">
      <c r="A118" s="138" t="s">
        <v>348</v>
      </c>
      <c r="B118" s="141" t="s">
        <v>355</v>
      </c>
      <c r="C118" s="50"/>
      <c r="D118" s="50"/>
      <c r="E118" s="50"/>
      <c r="F118" s="50"/>
      <c r="G118" s="116">
        <f>((D118+E118+F118)/3)*(1+Parâmetros!E11)</f>
        <v>0</v>
      </c>
      <c r="H118" s="140">
        <f>((E118+F118+G118)/3)*(1+Parâmetros!F11)</f>
        <v>0</v>
      </c>
      <c r="I118" s="140">
        <f>((F118+G118+H118)/3)*(1+Parâmetros!G11)</f>
        <v>0</v>
      </c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  <c r="CK118" s="213"/>
      <c r="CL118" s="213"/>
      <c r="CM118" s="213"/>
      <c r="CN118" s="213"/>
      <c r="CO118" s="213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3"/>
      <c r="DA118" s="213"/>
      <c r="DB118" s="213"/>
      <c r="DC118" s="213"/>
      <c r="DD118" s="213"/>
      <c r="DE118" s="213"/>
      <c r="DF118" s="213"/>
      <c r="DG118" s="213"/>
      <c r="DH118" s="213"/>
      <c r="DI118" s="213"/>
      <c r="DJ118" s="213"/>
      <c r="DK118" s="213"/>
      <c r="DL118" s="213"/>
      <c r="DM118" s="213"/>
      <c r="DN118" s="213"/>
      <c r="DO118" s="213"/>
      <c r="DP118" s="213"/>
      <c r="DQ118" s="213"/>
      <c r="DR118" s="213"/>
      <c r="DS118" s="213"/>
      <c r="DT118" s="213"/>
      <c r="DU118" s="213"/>
      <c r="DV118" s="213"/>
      <c r="DW118" s="213"/>
      <c r="DX118" s="213"/>
      <c r="DY118" s="213"/>
      <c r="DZ118" s="213"/>
      <c r="EA118" s="213"/>
      <c r="EB118" s="213"/>
      <c r="EC118" s="213"/>
      <c r="ED118" s="213"/>
      <c r="EE118" s="213"/>
      <c r="EF118" s="213"/>
      <c r="EG118" s="213"/>
      <c r="EH118" s="213"/>
      <c r="EI118" s="213"/>
      <c r="EJ118" s="213"/>
      <c r="EK118" s="213"/>
      <c r="EL118" s="213"/>
      <c r="EM118" s="213"/>
      <c r="EN118" s="213"/>
      <c r="EO118" s="213"/>
      <c r="EP118" s="213"/>
      <c r="EQ118" s="213"/>
      <c r="ER118" s="213"/>
      <c r="ES118" s="213"/>
      <c r="ET118" s="213"/>
      <c r="EU118" s="213"/>
      <c r="EV118" s="213"/>
      <c r="EW118" s="213"/>
      <c r="EX118" s="213"/>
      <c r="EY118" s="213"/>
      <c r="EZ118" s="213"/>
      <c r="FA118" s="213"/>
      <c r="FB118" s="213"/>
      <c r="FC118" s="213"/>
      <c r="FD118" s="213"/>
      <c r="FE118" s="213"/>
      <c r="FF118" s="213"/>
      <c r="FG118" s="213"/>
      <c r="FH118" s="213"/>
      <c r="FI118" s="213"/>
      <c r="FJ118" s="213"/>
      <c r="FK118" s="213"/>
      <c r="FL118" s="213"/>
      <c r="FM118" s="213"/>
      <c r="FN118" s="213"/>
      <c r="FO118" s="213"/>
      <c r="FP118" s="213"/>
      <c r="FQ118" s="213"/>
      <c r="FR118" s="213"/>
      <c r="FS118" s="213"/>
      <c r="FT118" s="213"/>
      <c r="FU118" s="213"/>
    </row>
    <row r="119" spans="1:177" s="52" customFormat="1" ht="15.75">
      <c r="A119" s="125" t="s">
        <v>34</v>
      </c>
      <c r="B119" s="126" t="s">
        <v>60</v>
      </c>
      <c r="C119" s="127">
        <f aca="true" t="shared" si="23" ref="C119:I119">C120+C121+C122+C123</f>
        <v>0</v>
      </c>
      <c r="D119" s="127">
        <f t="shared" si="23"/>
        <v>0</v>
      </c>
      <c r="E119" s="127">
        <f t="shared" si="23"/>
        <v>0</v>
      </c>
      <c r="F119" s="127">
        <f t="shared" si="23"/>
        <v>3208.94</v>
      </c>
      <c r="G119" s="127">
        <f t="shared" si="23"/>
        <v>176660.68</v>
      </c>
      <c r="H119" s="127">
        <f t="shared" si="23"/>
        <v>134120.67</v>
      </c>
      <c r="I119" s="127">
        <f t="shared" si="23"/>
        <v>101558.03</v>
      </c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</row>
    <row r="120" spans="1:177" ht="15">
      <c r="A120" s="138" t="s">
        <v>34</v>
      </c>
      <c r="B120" s="139" t="s">
        <v>272</v>
      </c>
      <c r="C120" s="50">
        <v>0</v>
      </c>
      <c r="D120" s="50">
        <v>0</v>
      </c>
      <c r="E120" s="50">
        <v>0</v>
      </c>
      <c r="F120" s="50">
        <v>3208.94</v>
      </c>
      <c r="G120" s="116">
        <v>176660.68</v>
      </c>
      <c r="H120" s="140">
        <v>134120.67</v>
      </c>
      <c r="I120" s="140">
        <v>101558.03</v>
      </c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</row>
    <row r="121" spans="1:177" ht="15">
      <c r="A121" s="138" t="s">
        <v>34</v>
      </c>
      <c r="B121" s="139" t="s">
        <v>273</v>
      </c>
      <c r="C121" s="50">
        <v>0</v>
      </c>
      <c r="D121" s="50">
        <v>0</v>
      </c>
      <c r="E121" s="50">
        <v>0</v>
      </c>
      <c r="F121" s="50">
        <v>0</v>
      </c>
      <c r="G121" s="116">
        <f>(((D121*(1+Parâmetros!B11)*(1+Parâmetros!C11)*(1+Parâmetros!D11))+(E121*(1+Parâmetros!C11)*(1+Parâmetros!D11)+(F121*(1+Parâmetros!D11))))/3)*(1+Parâmetros!E21)</f>
        <v>0</v>
      </c>
      <c r="H121" s="140">
        <f>G121*(1+Parâmetros!F21)</f>
        <v>0</v>
      </c>
      <c r="I121" s="140">
        <f>H121*(1+Parâmetros!G21)</f>
        <v>0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</row>
    <row r="122" spans="1:177" ht="15">
      <c r="A122" s="138" t="s">
        <v>34</v>
      </c>
      <c r="B122" s="139" t="s">
        <v>111</v>
      </c>
      <c r="C122" s="50">
        <v>0</v>
      </c>
      <c r="D122" s="50">
        <v>0</v>
      </c>
      <c r="E122" s="50">
        <v>0</v>
      </c>
      <c r="F122" s="50">
        <v>0</v>
      </c>
      <c r="G122" s="116">
        <f>(((D122*(1+Parâmetros!B11)*(1+Parâmetros!C11)*(1+Parâmetros!D11))+(E122*(1+Parâmetros!C11)*(1+Parâmetros!D11)+(F122*(1+Parâmetros!D11))))/3)*(1+Parâmetros!E21)</f>
        <v>0</v>
      </c>
      <c r="H122" s="140">
        <f>G122*(1+Parâmetros!F21)</f>
        <v>0</v>
      </c>
      <c r="I122" s="140">
        <f>H122*(1+Parâmetros!G21)</f>
        <v>0</v>
      </c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</row>
    <row r="123" spans="1:177" ht="15.75">
      <c r="A123" s="138" t="s">
        <v>349</v>
      </c>
      <c r="B123" s="139" t="s">
        <v>356</v>
      </c>
      <c r="C123" s="50"/>
      <c r="D123" s="50"/>
      <c r="E123" s="50"/>
      <c r="F123" s="50"/>
      <c r="G123" s="116">
        <f>((D123+E123+F123)/3)*(1+Parâmetros!E11)</f>
        <v>0</v>
      </c>
      <c r="H123" s="116">
        <f>((E123+F123+G123)/3)*(1+Parâmetros!F11)</f>
        <v>0</v>
      </c>
      <c r="I123" s="116">
        <f>((F123+G123+H123)/3)*(1+Parâmetros!G11)</f>
        <v>0</v>
      </c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</row>
    <row r="124" spans="1:177" s="51" customFormat="1" ht="15.75">
      <c r="A124" s="125" t="s">
        <v>35</v>
      </c>
      <c r="B124" s="126" t="s">
        <v>36</v>
      </c>
      <c r="C124" s="127">
        <f aca="true" t="shared" si="24" ref="C124:I124">C125+C126+C127+C128</f>
        <v>4813579.04</v>
      </c>
      <c r="D124" s="127">
        <f t="shared" si="24"/>
        <v>5101354.72</v>
      </c>
      <c r="E124" s="127">
        <f t="shared" si="24"/>
        <v>5630939.25</v>
      </c>
      <c r="F124" s="127">
        <f t="shared" si="24"/>
        <v>5273946.24</v>
      </c>
      <c r="G124" s="127">
        <f t="shared" si="24"/>
        <v>5886426.305121639</v>
      </c>
      <c r="H124" s="127">
        <f t="shared" si="24"/>
        <v>5974018.191912661</v>
      </c>
      <c r="I124" s="127">
        <f t="shared" si="24"/>
        <v>5896649.81301647</v>
      </c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</row>
    <row r="125" spans="1:177" s="8" customFormat="1" ht="15">
      <c r="A125" s="138" t="s">
        <v>35</v>
      </c>
      <c r="B125" s="139" t="s">
        <v>274</v>
      </c>
      <c r="C125" s="50">
        <v>4692856.34</v>
      </c>
      <c r="D125" s="50">
        <v>4967711.72</v>
      </c>
      <c r="E125" s="50">
        <v>5474259.07</v>
      </c>
      <c r="F125" s="50">
        <v>5121238.2</v>
      </c>
      <c r="G125" s="116">
        <f>(((D125*(1+Parâmetros!B11)*(1+Parâmetros!C11)*(1+Parâmetros!D11))+(E125*(1+Parâmetros!C11)*(1+Parâmetros!D11)+(F125*(1+Parâmetros!D11))))/3)*(1+Parâmetros!E11)*(1+Parâmetros!E14)</f>
        <v>5723669.589210004</v>
      </c>
      <c r="H125" s="140">
        <f>G125*(1+Parâmetros!F11)*(1+Parâmetros!F14)</f>
        <v>5808839.604546999</v>
      </c>
      <c r="I125" s="140">
        <f>H125*(1+Parâmetros!G11)*(1+Parâmetros!G14)</f>
        <v>5733610.422272294</v>
      </c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</row>
    <row r="126" spans="1:177" s="8" customFormat="1" ht="15">
      <c r="A126" s="138" t="s">
        <v>35</v>
      </c>
      <c r="B126" s="139" t="s">
        <v>275</v>
      </c>
      <c r="C126" s="50">
        <v>120722.7</v>
      </c>
      <c r="D126" s="50">
        <v>133643</v>
      </c>
      <c r="E126" s="50">
        <v>156680.18</v>
      </c>
      <c r="F126" s="50">
        <v>152708.04</v>
      </c>
      <c r="G126" s="116">
        <f>(((D126*(1+Parâmetros!B11)*(1+Parâmetros!C11)*(1+Parâmetros!D11))+(E126*(1+Parâmetros!C11)*(1+Parâmetros!D11)+(F126*(1+Parâmetros!D11))))/3)*(1+Parâmetros!E11)*(1+Parâmetros!E14)</f>
        <v>162756.7159116354</v>
      </c>
      <c r="H126" s="140">
        <f>G126*(1+Parâmetros!F11)*(1+Parâmetros!F14)</f>
        <v>165178.58736566288</v>
      </c>
      <c r="I126" s="140">
        <f>H126*(1+Parâmetros!G11)*(1+Parâmetros!G14)</f>
        <v>163039.39074417538</v>
      </c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</row>
    <row r="127" spans="1:177" s="8" customFormat="1" ht="15">
      <c r="A127" s="138" t="s">
        <v>35</v>
      </c>
      <c r="B127" s="139" t="s">
        <v>276</v>
      </c>
      <c r="C127" s="50">
        <v>0</v>
      </c>
      <c r="D127" s="50">
        <v>0</v>
      </c>
      <c r="E127" s="50">
        <v>0</v>
      </c>
      <c r="F127" s="50">
        <v>0</v>
      </c>
      <c r="G127" s="116">
        <f>(((D127*(1+Parâmetros!B11)*(1+Parâmetros!C11)*(1+Parâmetros!D11))+(E127*(1+Parâmetros!C11)*(1+Parâmetros!D11)+(F127*(1+Parâmetros!D11))))/3)*(1+Parâmetros!E11)*(1+Parâmetros!E14)</f>
        <v>0</v>
      </c>
      <c r="H127" s="140">
        <f>G127*(1+Parâmetros!F11)*(1+Parâmetros!F14)</f>
        <v>0</v>
      </c>
      <c r="I127" s="140">
        <f>H127*(1+Parâmetros!G11)*(1+Parâmetros!G14)</f>
        <v>0</v>
      </c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</row>
    <row r="128" spans="1:177" s="8" customFormat="1" ht="15.75">
      <c r="A128" s="138" t="s">
        <v>350</v>
      </c>
      <c r="B128" s="139" t="s">
        <v>357</v>
      </c>
      <c r="C128" s="50"/>
      <c r="D128" s="50"/>
      <c r="E128" s="50"/>
      <c r="F128" s="50"/>
      <c r="G128" s="116">
        <f>((D128+E128+F128)/3)*(1+Parâmetros!E11)</f>
        <v>0</v>
      </c>
      <c r="H128" s="116">
        <f>((E128+F128+G128)/3)*(1+Parâmetros!F11)</f>
        <v>0</v>
      </c>
      <c r="I128" s="116">
        <f>((F128+G128+H128)/3)*(1+Parâmetros!G11)</f>
        <v>0</v>
      </c>
      <c r="J128" s="60"/>
      <c r="K128" s="215" t="s">
        <v>354</v>
      </c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</row>
    <row r="129" spans="1:177" s="51" customFormat="1" ht="15.75">
      <c r="A129" s="125" t="s">
        <v>37</v>
      </c>
      <c r="B129" s="126" t="s">
        <v>2</v>
      </c>
      <c r="C129" s="127">
        <f aca="true" t="shared" si="25" ref="C129:I129">C130+C135+C140</f>
        <v>596577.06</v>
      </c>
      <c r="D129" s="127">
        <f t="shared" si="25"/>
        <v>749670.67</v>
      </c>
      <c r="E129" s="127">
        <f t="shared" si="25"/>
        <v>457751.57</v>
      </c>
      <c r="F129" s="127">
        <f t="shared" si="25"/>
        <v>522151.64999999997</v>
      </c>
      <c r="G129" s="127">
        <f t="shared" si="25"/>
        <v>796624.5763495106</v>
      </c>
      <c r="H129" s="127">
        <f t="shared" si="25"/>
        <v>860011.2440369907</v>
      </c>
      <c r="I129" s="127">
        <f t="shared" si="25"/>
        <v>862728.8968444625</v>
      </c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</row>
    <row r="130" spans="1:177" s="51" customFormat="1" ht="15.75">
      <c r="A130" s="125" t="s">
        <v>38</v>
      </c>
      <c r="B130" s="126" t="s">
        <v>3</v>
      </c>
      <c r="C130" s="127">
        <f aca="true" t="shared" si="26" ref="C130:I130">C131+C132+C133+C134</f>
        <v>596577.06</v>
      </c>
      <c r="D130" s="127">
        <f t="shared" si="26"/>
        <v>749670.67</v>
      </c>
      <c r="E130" s="127">
        <f t="shared" si="26"/>
        <v>457751.57</v>
      </c>
      <c r="F130" s="127">
        <f t="shared" si="26"/>
        <v>517945.8</v>
      </c>
      <c r="G130" s="127">
        <f t="shared" si="26"/>
        <v>615550.3663495106</v>
      </c>
      <c r="H130" s="127">
        <f t="shared" si="26"/>
        <v>553971.5540369906</v>
      </c>
      <c r="I130" s="127">
        <f t="shared" si="26"/>
        <v>556440.8568444626</v>
      </c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</row>
    <row r="131" spans="1:177" s="8" customFormat="1" ht="15">
      <c r="A131" s="138" t="s">
        <v>38</v>
      </c>
      <c r="B131" s="139" t="s">
        <v>277</v>
      </c>
      <c r="C131" s="50">
        <v>594670.06</v>
      </c>
      <c r="D131" s="50">
        <v>736440.67</v>
      </c>
      <c r="E131" s="50">
        <v>449512.57</v>
      </c>
      <c r="F131" s="50">
        <v>503999.16</v>
      </c>
      <c r="G131" s="116">
        <f>(((D131*(1+Parâmetros!B11)*(1+Parâmetros!C11)*(1+Parâmetros!D11))+(E131*(1+Parâmetros!C11)*(1+Parâmetros!D11)+(F131*(1+Parâmetros!D11))))/3)*(1+Parâmetros!E11)*(1+Parâmetros!E20)</f>
        <v>602980.5378071802</v>
      </c>
      <c r="H131" s="140">
        <f>G131*(1+Parâmetros!F11)*(1+Parâmetros!F20)</f>
        <v>542659.1938594328</v>
      </c>
      <c r="I131" s="140">
        <f>H131*(1+Parâmetros!G11)*(1+Parâmetros!G20)</f>
        <v>545078.072339984</v>
      </c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</row>
    <row r="132" spans="1:177" s="8" customFormat="1" ht="15">
      <c r="A132" s="138" t="s">
        <v>38</v>
      </c>
      <c r="B132" s="139" t="s">
        <v>278</v>
      </c>
      <c r="C132" s="50">
        <v>1907</v>
      </c>
      <c r="D132" s="50">
        <v>13230</v>
      </c>
      <c r="E132" s="50">
        <v>8239</v>
      </c>
      <c r="F132" s="50">
        <v>13946.64</v>
      </c>
      <c r="G132" s="116">
        <f>(((D132*(1+Parâmetros!B11)*(1+Parâmetros!C11)*(1+Parâmetros!D11))+(E132*(1+Parâmetros!C11)*(1+Parâmetros!D11)+(F132*(1+Parâmetros!D11))))/3)*(1+Parâmetros!E11)*(1+Parâmetros!E20)</f>
        <v>12569.828542330408</v>
      </c>
      <c r="H132" s="140">
        <f>G132*(1+Parâmetros!F11)*(1+Parâmetros!F20)</f>
        <v>11312.360177557764</v>
      </c>
      <c r="I132" s="140">
        <f>H132*(1+Parâmetros!G11)*(1+Parâmetros!G20)</f>
        <v>11362.78450447855</v>
      </c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</row>
    <row r="133" spans="1:177" s="8" customFormat="1" ht="15">
      <c r="A133" s="138" t="s">
        <v>38</v>
      </c>
      <c r="B133" s="139" t="s">
        <v>112</v>
      </c>
      <c r="C133" s="50">
        <v>0</v>
      </c>
      <c r="D133" s="50">
        <v>0</v>
      </c>
      <c r="E133" s="50">
        <v>0</v>
      </c>
      <c r="F133" s="50">
        <v>0</v>
      </c>
      <c r="G133" s="116">
        <f>(((D133*(1+Parâmetros!B11)*(1+Parâmetros!C11)*(1+Parâmetros!D11))+(E133*(1+Parâmetros!C11)*(1+Parâmetros!D11)+(F133*(1+Parâmetros!D11))))/3)*(1+Parâmetros!E11)*(1+Parâmetros!E20)</f>
        <v>0</v>
      </c>
      <c r="H133" s="140">
        <f>G133*(1+Parâmetros!F11)*(1+Parâmetros!F20)</f>
        <v>0</v>
      </c>
      <c r="I133" s="140">
        <f>H133*(1+Parâmetros!G11)*(1+Parâmetros!G20)</f>
        <v>0</v>
      </c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</row>
    <row r="134" spans="1:177" s="8" customFormat="1" ht="15.75">
      <c r="A134" s="138" t="s">
        <v>351</v>
      </c>
      <c r="B134" s="139" t="s">
        <v>358</v>
      </c>
      <c r="C134" s="50"/>
      <c r="D134" s="50"/>
      <c r="E134" s="50"/>
      <c r="F134" s="50"/>
      <c r="G134" s="116">
        <f>((D134+E134+F134)/3)*(1+Parâmetros!E11)</f>
        <v>0</v>
      </c>
      <c r="H134" s="116">
        <f>((E134+F134+G134)/3)*(1+Parâmetros!F11)</f>
        <v>0</v>
      </c>
      <c r="I134" s="116">
        <f>((F134+G134+H134)/3)*(1+Parâmetros!G11)</f>
        <v>0</v>
      </c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</row>
    <row r="135" spans="1:177" s="51" customFormat="1" ht="15.75">
      <c r="A135" s="125" t="s">
        <v>39</v>
      </c>
      <c r="B135" s="126" t="s">
        <v>4</v>
      </c>
      <c r="C135" s="127">
        <f aca="true" t="shared" si="27" ref="C135:I135">C136+C137+C138+C139</f>
        <v>0</v>
      </c>
      <c r="D135" s="127">
        <f t="shared" si="27"/>
        <v>0</v>
      </c>
      <c r="E135" s="127">
        <f t="shared" si="27"/>
        <v>0</v>
      </c>
      <c r="F135" s="127">
        <f t="shared" si="27"/>
        <v>0</v>
      </c>
      <c r="G135" s="127">
        <f t="shared" si="27"/>
        <v>0</v>
      </c>
      <c r="H135" s="127">
        <f t="shared" si="27"/>
        <v>0</v>
      </c>
      <c r="I135" s="127">
        <f t="shared" si="27"/>
        <v>0</v>
      </c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</row>
    <row r="136" spans="1:177" ht="15">
      <c r="A136" s="138" t="s">
        <v>40</v>
      </c>
      <c r="B136" s="141" t="s">
        <v>41</v>
      </c>
      <c r="C136" s="50">
        <v>0</v>
      </c>
      <c r="D136" s="50">
        <v>0</v>
      </c>
      <c r="E136" s="50">
        <v>0</v>
      </c>
      <c r="F136" s="50">
        <v>0</v>
      </c>
      <c r="G136" s="116">
        <f>(((D136*(1+Parâmetros!B11)*(1+Parâmetros!C11)*(1+Parâmetros!D11))+(E136*(1+Parâmetros!C11)*(1+Parâmetros!D11)+(F136*(1+Parâmetros!D11))))/3)*(1+Parâmetros!E11)</f>
        <v>0</v>
      </c>
      <c r="H136" s="140">
        <f>G136*(1+Parâmetros!F11)</f>
        <v>0</v>
      </c>
      <c r="I136" s="140">
        <f>H136*(1+Parâmetros!G11)</f>
        <v>0</v>
      </c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</row>
    <row r="137" spans="1:177" ht="15">
      <c r="A137" s="138" t="s">
        <v>279</v>
      </c>
      <c r="B137" s="141" t="s">
        <v>280</v>
      </c>
      <c r="C137" s="50">
        <v>0</v>
      </c>
      <c r="D137" s="50">
        <v>0</v>
      </c>
      <c r="E137" s="50">
        <v>0</v>
      </c>
      <c r="F137" s="50">
        <v>0</v>
      </c>
      <c r="G137" s="116">
        <f>(((D137*(1+Parâmetros!B11)*(1+Parâmetros!C11)*(1+Parâmetros!D11))+(E137*(1+Parâmetros!C11)*(1+Parâmetros!D11)+(F137*(1+Parâmetros!D11))))/3)*(1+Parâmetros!E11)</f>
        <v>0</v>
      </c>
      <c r="H137" s="140">
        <f>G137*(1+Parâmetros!F11)</f>
        <v>0</v>
      </c>
      <c r="I137" s="140">
        <f>H137*(1+Parâmetros!G11)</f>
        <v>0</v>
      </c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</row>
    <row r="138" spans="1:177" ht="15">
      <c r="A138" s="138" t="s">
        <v>279</v>
      </c>
      <c r="B138" s="141" t="s">
        <v>281</v>
      </c>
      <c r="C138" s="50">
        <v>0</v>
      </c>
      <c r="D138" s="50">
        <v>0</v>
      </c>
      <c r="E138" s="50">
        <v>0</v>
      </c>
      <c r="F138" s="50">
        <v>0</v>
      </c>
      <c r="G138" s="116">
        <f>(((D138*(1+Parâmetros!B11)*(1+Parâmetros!C11)*(1+Parâmetros!D11))+(E138*(1+Parâmetros!C11)*(1+Parâmetros!D11)+(F138*(1+Parâmetros!D11))))/3)*(1+Parâmetros!E11)</f>
        <v>0</v>
      </c>
      <c r="H138" s="140">
        <f>G138*(1+Parâmetros!F11)</f>
        <v>0</v>
      </c>
      <c r="I138" s="140">
        <f>H138*(1+Parâmetros!G11)</f>
        <v>0</v>
      </c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</row>
    <row r="139" spans="1:177" ht="15.75">
      <c r="A139" s="138" t="s">
        <v>352</v>
      </c>
      <c r="B139" s="141" t="s">
        <v>359</v>
      </c>
      <c r="C139" s="50"/>
      <c r="D139" s="50"/>
      <c r="E139" s="50"/>
      <c r="F139" s="50"/>
      <c r="G139" s="116">
        <f>((D139+E139+F139)/3)*(1+Parâmetros!E11)</f>
        <v>0</v>
      </c>
      <c r="H139" s="116">
        <f>((E139+F139+G139)/3)*(1+Parâmetros!F11)</f>
        <v>0</v>
      </c>
      <c r="I139" s="116">
        <f>((F139+G139+H139)/3)*(1+Parâmetros!G11)</f>
        <v>0</v>
      </c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</row>
    <row r="140" spans="1:177" s="51" customFormat="1" ht="15.75">
      <c r="A140" s="125" t="s">
        <v>42</v>
      </c>
      <c r="B140" s="126" t="s">
        <v>43</v>
      </c>
      <c r="C140" s="127">
        <f aca="true" t="shared" si="28" ref="C140:I140">C141+C142+C143+C144</f>
        <v>0</v>
      </c>
      <c r="D140" s="127">
        <f t="shared" si="28"/>
        <v>0</v>
      </c>
      <c r="E140" s="127">
        <f t="shared" si="28"/>
        <v>0</v>
      </c>
      <c r="F140" s="127">
        <f t="shared" si="28"/>
        <v>4205.85</v>
      </c>
      <c r="G140" s="127">
        <f t="shared" si="28"/>
        <v>181074.21</v>
      </c>
      <c r="H140" s="127">
        <f t="shared" si="28"/>
        <v>306039.69</v>
      </c>
      <c r="I140" s="127">
        <f t="shared" si="28"/>
        <v>306288.04</v>
      </c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</row>
    <row r="141" spans="1:177" s="8" customFormat="1" ht="15">
      <c r="A141" s="138" t="s">
        <v>42</v>
      </c>
      <c r="B141" s="141" t="s">
        <v>282</v>
      </c>
      <c r="C141" s="50">
        <v>0</v>
      </c>
      <c r="D141" s="50">
        <v>0</v>
      </c>
      <c r="E141" s="50">
        <v>0</v>
      </c>
      <c r="F141" s="50">
        <v>4205.85</v>
      </c>
      <c r="G141" s="116">
        <v>181074.21</v>
      </c>
      <c r="H141" s="140">
        <v>306039.69</v>
      </c>
      <c r="I141" s="140">
        <v>306288.04</v>
      </c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</row>
    <row r="142" spans="1:177" s="8" customFormat="1" ht="15">
      <c r="A142" s="138" t="s">
        <v>42</v>
      </c>
      <c r="B142" s="141" t="s">
        <v>283</v>
      </c>
      <c r="C142" s="50">
        <v>0</v>
      </c>
      <c r="D142" s="50">
        <v>0</v>
      </c>
      <c r="E142" s="50">
        <v>0</v>
      </c>
      <c r="F142" s="50">
        <v>0</v>
      </c>
      <c r="G142" s="116">
        <f>(((D142*(1+Parâmetros!B11)*(1+Parâmetros!C11)*(1+Parâmetros!D11))+(E142*(1+Parâmetros!C11)*(1+Parâmetros!D11)+(F142*(1+Parâmetros!D11))))/3)*(1+Parâmetros!E11)</f>
        <v>0</v>
      </c>
      <c r="H142" s="140">
        <f>G142*(1+Parâmetros!F11)</f>
        <v>0</v>
      </c>
      <c r="I142" s="140">
        <f>H142*(1+Parâmetros!G11)</f>
        <v>0</v>
      </c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</row>
    <row r="143" spans="1:177" s="8" customFormat="1" ht="15">
      <c r="A143" s="138" t="s">
        <v>42</v>
      </c>
      <c r="B143" s="141" t="s">
        <v>284</v>
      </c>
      <c r="C143" s="50">
        <v>0</v>
      </c>
      <c r="D143" s="50">
        <v>0</v>
      </c>
      <c r="E143" s="50">
        <v>0</v>
      </c>
      <c r="F143" s="50">
        <v>0</v>
      </c>
      <c r="G143" s="116">
        <f>(((D143*(1+Parâmetros!B11)*(1+Parâmetros!C11)*(1+Parâmetros!D11))+(E143*(1+Parâmetros!C11)*(1+Parâmetros!D11)+(F143*(1+Parâmetros!D11))))/3)*(1+Parâmetros!E11)</f>
        <v>0</v>
      </c>
      <c r="H143" s="140">
        <f>G143*(1+Parâmetros!F11)</f>
        <v>0</v>
      </c>
      <c r="I143" s="140">
        <f>H143*(1+Parâmetros!G11)</f>
        <v>0</v>
      </c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</row>
    <row r="144" spans="1:177" s="8" customFormat="1" ht="15.75">
      <c r="A144" s="138" t="s">
        <v>353</v>
      </c>
      <c r="B144" s="141" t="s">
        <v>360</v>
      </c>
      <c r="C144" s="50"/>
      <c r="D144" s="50"/>
      <c r="E144" s="50"/>
      <c r="F144" s="50"/>
      <c r="G144" s="116">
        <f>((D144+E144+F144)/3)*(1+Parâmetros!E11)</f>
        <v>0</v>
      </c>
      <c r="H144" s="116">
        <f>((E144+F144+G144)/3)*(1+Parâmetros!F11)</f>
        <v>0</v>
      </c>
      <c r="I144" s="116">
        <f>((F144+G144+H144)/3)*(1+Parâmetros!G11)</f>
        <v>0</v>
      </c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</row>
    <row r="145" spans="1:177" s="8" customFormat="1" ht="15">
      <c r="A145" s="138" t="s">
        <v>98</v>
      </c>
      <c r="B145" s="141" t="s">
        <v>362</v>
      </c>
      <c r="C145" s="143"/>
      <c r="D145" s="143"/>
      <c r="E145" s="143"/>
      <c r="F145" s="143"/>
      <c r="G145" s="140">
        <f>((G105-G17-G28-G72-G95-G97)-(G115+G116+G120+G121+G125+G126+G131+G132+G136+G137+G138+G141+G142+G118+G123+G128+G134+G139+G144))</f>
        <v>-29381.267662143335</v>
      </c>
      <c r="H145" s="140">
        <f>((H105-H17-H28-H72-H95-H97)-(H115+H116+H120+H121+H125+H126+H131+H132+H136+H137+H138+H141+H142+H118+H123+H128+H134+H139+H144))</f>
        <v>420228.8829974737</v>
      </c>
      <c r="I145" s="140">
        <f>((I105-I17-I28-I72-I95-I97)-(I115+I116+I120+I121+I125+I126+I131+I132+I136+I137+I138+I141+I142+I118+I123+I128+I134+I139+I144))</f>
        <v>1140683.5648834817</v>
      </c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</row>
    <row r="146" spans="1:177" ht="14.25" customHeight="1">
      <c r="A146" s="138" t="s">
        <v>99</v>
      </c>
      <c r="B146" s="139" t="s">
        <v>363</v>
      </c>
      <c r="C146" s="143"/>
      <c r="D146" s="143"/>
      <c r="E146" s="143"/>
      <c r="F146" s="143"/>
      <c r="G146" s="140">
        <f>G17+G28+G72+G95+G97-G117-G122-G127-G133-G143</f>
        <v>0</v>
      </c>
      <c r="H146" s="140">
        <f>H17+H28+H72+H95+H97-H117-H122-H127-H133-H143</f>
        <v>0</v>
      </c>
      <c r="I146" s="140">
        <f>I17+I28+I72+I95+I97-I117-I122-I127-I133-I143</f>
        <v>0</v>
      </c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</row>
    <row r="147" spans="1:177" s="9" customFormat="1" ht="24" customHeight="1" thickBot="1">
      <c r="A147" s="142"/>
      <c r="B147" s="67" t="s">
        <v>361</v>
      </c>
      <c r="C147" s="68">
        <f>C113+C129</f>
        <v>12719247.000000002</v>
      </c>
      <c r="D147" s="68">
        <f>D113+D129</f>
        <v>13646062.78</v>
      </c>
      <c r="E147" s="68">
        <f>E113+E129</f>
        <v>14405187.29</v>
      </c>
      <c r="F147" s="68">
        <f>F113+F129</f>
        <v>14250435.83</v>
      </c>
      <c r="G147" s="68">
        <f>G113+G129+G145+G146</f>
        <v>16099999.99932523</v>
      </c>
      <c r="H147" s="68">
        <f>H113+H129+H145+H146</f>
        <v>17081845.59724521</v>
      </c>
      <c r="I147" s="68">
        <f>I113+I129+I145+I146</f>
        <v>18054576.40530125</v>
      </c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</row>
    <row r="148" spans="1:177" s="1" customFormat="1" ht="17.25" customHeight="1" hidden="1">
      <c r="A148" s="19"/>
      <c r="B148" s="23" t="s">
        <v>30</v>
      </c>
      <c r="C148" s="53"/>
      <c r="D148" s="54"/>
      <c r="E148" s="54"/>
      <c r="F148" s="54"/>
      <c r="G148" s="54"/>
      <c r="H148" s="54"/>
      <c r="I148" s="54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</row>
    <row r="149" spans="1:177" s="1" customFormat="1" ht="17.25" customHeight="1" hidden="1">
      <c r="A149" s="20"/>
      <c r="B149" s="21" t="s">
        <v>6</v>
      </c>
      <c r="C149" s="22" t="s">
        <v>8</v>
      </c>
      <c r="D149" s="22" t="e">
        <f>IF(#REF!&gt;0,"REALIZADO","PROJETADO")</f>
        <v>#REF!</v>
      </c>
      <c r="E149" s="22" t="e">
        <f>IF(#REF!&gt;0,"REALIZADO","PROJETADO")</f>
        <v>#REF!</v>
      </c>
      <c r="F149" s="22" t="e">
        <f>IF(#REF!&gt;0,"REALIZADO","PROJETADO")</f>
        <v>#REF!</v>
      </c>
      <c r="G149" s="22" t="s">
        <v>9</v>
      </c>
      <c r="H149" s="22"/>
      <c r="I149" s="22" t="s">
        <v>9</v>
      </c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</row>
    <row r="150" spans="1:177" s="1" customFormat="1" ht="17.25" customHeight="1" hidden="1">
      <c r="A150" s="20"/>
      <c r="B150" s="55" t="s">
        <v>5</v>
      </c>
      <c r="C150" s="56">
        <v>1999</v>
      </c>
      <c r="D150" s="56">
        <v>2000</v>
      </c>
      <c r="E150" s="56">
        <v>2001</v>
      </c>
      <c r="F150" s="56">
        <v>2002</v>
      </c>
      <c r="G150" s="56">
        <v>2003</v>
      </c>
      <c r="H150" s="56"/>
      <c r="I150" s="56">
        <v>2004</v>
      </c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</row>
    <row r="151" spans="1:177" s="1" customFormat="1" ht="17.25" customHeight="1" hidden="1">
      <c r="A151" s="20"/>
      <c r="B151" s="23"/>
      <c r="C151" s="24"/>
      <c r="D151" s="24"/>
      <c r="E151" s="24"/>
      <c r="F151" s="24"/>
      <c r="G151" s="24"/>
      <c r="H151" s="24"/>
      <c r="I151" s="24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</row>
    <row r="152" spans="1:177" s="1" customFormat="1" ht="16.5" hidden="1" thickBot="1">
      <c r="A152" s="20"/>
      <c r="B152" s="23" t="s">
        <v>10</v>
      </c>
      <c r="C152" s="25" t="e">
        <f>C8-#REF!-C14+C156-#REF!</f>
        <v>#REF!</v>
      </c>
      <c r="D152" s="25" t="e">
        <f>D8-#REF!-D14+D156-#REF!</f>
        <v>#REF!</v>
      </c>
      <c r="E152" s="25" t="e">
        <f>E8-#REF!-E14+E156-#REF!</f>
        <v>#REF!</v>
      </c>
      <c r="F152" s="25" t="e">
        <f>F8-#REF!-F14+F156-#REF!</f>
        <v>#REF!</v>
      </c>
      <c r="G152" s="25" t="e">
        <f>G8-#REF!-G14+G156-#REF!</f>
        <v>#REF!</v>
      </c>
      <c r="H152" s="25"/>
      <c r="I152" s="25" t="e">
        <f>I8-#REF!-I14+I156-#REF!</f>
        <v>#REF!</v>
      </c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</row>
    <row r="153" spans="1:177" s="1" customFormat="1" ht="16.5" hidden="1" thickBot="1">
      <c r="A153" s="20"/>
      <c r="B153" s="23" t="s">
        <v>11</v>
      </c>
      <c r="C153" s="25">
        <f>C9</f>
        <v>355991.67000000004</v>
      </c>
      <c r="D153" s="25">
        <f>D9</f>
        <v>556335.14</v>
      </c>
      <c r="E153" s="25">
        <f>E9</f>
        <v>459354.69</v>
      </c>
      <c r="F153" s="25">
        <f>F9</f>
        <v>398345.0399999999</v>
      </c>
      <c r="G153" s="25">
        <f>G9</f>
        <v>549439.0835985555</v>
      </c>
      <c r="H153" s="25"/>
      <c r="I153" s="25">
        <f>I9</f>
        <v>474764.01961272536</v>
      </c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</row>
    <row r="154" spans="1:177" s="1" customFormat="1" ht="16.5" hidden="1" thickBot="1">
      <c r="A154" s="20"/>
      <c r="B154" s="23" t="s">
        <v>12</v>
      </c>
      <c r="C154" s="25" t="e">
        <f>C19+C20+C21+#REF!+#REF!+#REF!+#REF!</f>
        <v>#REF!</v>
      </c>
      <c r="D154" s="25" t="e">
        <f>D19+D20+D21+#REF!+#REF!+#REF!+#REF!</f>
        <v>#REF!</v>
      </c>
      <c r="E154" s="25" t="e">
        <f>E19+E20+E21+#REF!+#REF!+#REF!+#REF!</f>
        <v>#REF!</v>
      </c>
      <c r="F154" s="25" t="e">
        <f>F19+F20+F21+#REF!+#REF!+#REF!+#REF!</f>
        <v>#REF!</v>
      </c>
      <c r="G154" s="25" t="e">
        <f>G19+G20+G21+#REF!+#REF!+#REF!+#REF!</f>
        <v>#REF!</v>
      </c>
      <c r="H154" s="25"/>
      <c r="I154" s="25" t="e">
        <f>I19+I20+I21+#REF!+#REF!+#REF!+#REF!</f>
        <v>#REF!</v>
      </c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</row>
    <row r="155" spans="1:177" s="1" customFormat="1" ht="16.5" hidden="1" thickBot="1">
      <c r="A155" s="20"/>
      <c r="B155" s="23" t="s">
        <v>13</v>
      </c>
      <c r="C155" s="25" t="e">
        <f>#REF!</f>
        <v>#REF!</v>
      </c>
      <c r="D155" s="25" t="e">
        <f>#REF!</f>
        <v>#REF!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/>
      <c r="I155" s="25" t="e">
        <f>#REF!</f>
        <v>#REF!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</row>
    <row r="156" spans="1:177" s="1" customFormat="1" ht="16.5" hidden="1" thickBot="1">
      <c r="A156" s="20"/>
      <c r="B156" s="23" t="s">
        <v>14</v>
      </c>
      <c r="C156" s="25" t="e">
        <f>#REF!-#REF!</f>
        <v>#REF!</v>
      </c>
      <c r="D156" s="25" t="e">
        <f>#REF!-#REF!</f>
        <v>#REF!</v>
      </c>
      <c r="E156" s="25" t="e">
        <f>#REF!-#REF!</f>
        <v>#REF!</v>
      </c>
      <c r="F156" s="25" t="e">
        <f>#REF!-#REF!</f>
        <v>#REF!</v>
      </c>
      <c r="G156" s="25" t="e">
        <f>#REF!-#REF!</f>
        <v>#REF!</v>
      </c>
      <c r="H156" s="25"/>
      <c r="I156" s="25" t="e">
        <f>#REF!-#REF!</f>
        <v>#REF!</v>
      </c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</row>
    <row r="157" spans="1:177" s="1" customFormat="1" ht="16.5" hidden="1" thickBot="1">
      <c r="A157" s="20"/>
      <c r="B157" s="23" t="s">
        <v>15</v>
      </c>
      <c r="C157" s="25" t="e">
        <f>#REF!</f>
        <v>#REF!</v>
      </c>
      <c r="D157" s="25" t="e">
        <f>#REF!</f>
        <v>#REF!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/>
      <c r="I157" s="25" t="e">
        <f>#REF!</f>
        <v>#REF!</v>
      </c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</row>
    <row r="158" spans="1:177" s="1" customFormat="1" ht="16.5" hidden="1" thickBot="1">
      <c r="A158" s="20"/>
      <c r="B158" s="23" t="s">
        <v>16</v>
      </c>
      <c r="C158" s="25" t="e">
        <f>#REF!</f>
        <v>#REF!</v>
      </c>
      <c r="D158" s="25" t="e">
        <f>#REF!</f>
        <v>#REF!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/>
      <c r="I158" s="25" t="e">
        <f>#REF!</f>
        <v>#REF!</v>
      </c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</row>
    <row r="159" spans="1:177" s="1" customFormat="1" ht="16.5" hidden="1" thickBot="1">
      <c r="A159" s="20"/>
      <c r="B159" s="23" t="s">
        <v>17</v>
      </c>
      <c r="C159" s="25" t="e">
        <f>#REF!</f>
        <v>#REF!</v>
      </c>
      <c r="D159" s="25" t="e">
        <f>#REF!</f>
        <v>#REF!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/>
      <c r="I159" s="25" t="e">
        <f>#REF!</f>
        <v>#REF!</v>
      </c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</row>
    <row r="160" spans="1:177" s="1" customFormat="1" ht="16.5" hidden="1" thickBot="1">
      <c r="A160" s="20"/>
      <c r="B160" s="23" t="s">
        <v>18</v>
      </c>
      <c r="C160" s="25" t="e">
        <f>#REF!</f>
        <v>#REF!</v>
      </c>
      <c r="D160" s="25" t="e">
        <f>#REF!</f>
        <v>#REF!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/>
      <c r="I160" s="25" t="e">
        <f>#REF!</f>
        <v>#REF!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</row>
    <row r="161" spans="1:177" s="1" customFormat="1" ht="16.5" hidden="1" thickBot="1">
      <c r="A161" s="20"/>
      <c r="B161" s="23" t="s">
        <v>19</v>
      </c>
      <c r="C161" s="25" t="e">
        <f>#REF!+#REF!+C136+C137+C140+#REF!+C146+C147+C119+#REF!</f>
        <v>#REF!</v>
      </c>
      <c r="D161" s="25" t="e">
        <f>#REF!+#REF!+D136+D137+D140+#REF!+D146+D147+D119+#REF!</f>
        <v>#REF!</v>
      </c>
      <c r="E161" s="25" t="e">
        <f>#REF!+#REF!+E136+E137+E140+#REF!+E146+E147+E119+#REF!</f>
        <v>#REF!</v>
      </c>
      <c r="F161" s="25" t="e">
        <f>#REF!+#REF!+F136+F137+F140+#REF!+F146+F147+F119+#REF!</f>
        <v>#REF!</v>
      </c>
      <c r="G161" s="25" t="e">
        <f>#REF!+#REF!+G136+G137+G140+#REF!+G146+G147+G119+#REF!</f>
        <v>#REF!</v>
      </c>
      <c r="H161" s="25"/>
      <c r="I161" s="25" t="e">
        <f>#REF!+#REF!+I136+I137+I140+#REF!+I146+I147+I119+#REF!</f>
        <v>#REF!</v>
      </c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</row>
    <row r="162" spans="1:177" s="1" customFormat="1" ht="16.5" hidden="1" thickBot="1">
      <c r="A162" s="20"/>
      <c r="B162" s="23" t="s">
        <v>20</v>
      </c>
      <c r="C162" s="25" t="e">
        <f>#REF!+#REF!</f>
        <v>#REF!</v>
      </c>
      <c r="D162" s="25" t="e">
        <f>#REF!+#REF!</f>
        <v>#REF!</v>
      </c>
      <c r="E162" s="25" t="e">
        <f>#REF!+#REF!</f>
        <v>#REF!</v>
      </c>
      <c r="F162" s="25" t="e">
        <f>#REF!+#REF!</f>
        <v>#REF!</v>
      </c>
      <c r="G162" s="25" t="e">
        <f>#REF!+#REF!</f>
        <v>#REF!</v>
      </c>
      <c r="H162" s="25"/>
      <c r="I162" s="25" t="e">
        <f>#REF!+#REF!</f>
        <v>#REF!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</row>
    <row r="163" spans="1:177" s="1" customFormat="1" ht="16.5" hidden="1" thickBot="1">
      <c r="A163" s="20"/>
      <c r="B163" s="23" t="s">
        <v>21</v>
      </c>
      <c r="C163" s="25">
        <f>C130+C135</f>
        <v>596577.06</v>
      </c>
      <c r="D163" s="25">
        <f>D130+D135</f>
        <v>749670.67</v>
      </c>
      <c r="E163" s="25">
        <f>E130+E135</f>
        <v>457751.57</v>
      </c>
      <c r="F163" s="25">
        <f>F130+F135</f>
        <v>517945.8</v>
      </c>
      <c r="G163" s="25">
        <f>G130+G135</f>
        <v>615550.3663495106</v>
      </c>
      <c r="H163" s="25"/>
      <c r="I163" s="25">
        <f>I130+I135</f>
        <v>556440.8568444626</v>
      </c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</row>
    <row r="164" spans="1:177" s="1" customFormat="1" ht="16.5" hidden="1" thickBot="1">
      <c r="A164" s="20"/>
      <c r="B164" s="23" t="s">
        <v>22</v>
      </c>
      <c r="C164" s="25" t="e">
        <f>#REF!</f>
        <v>#REF!</v>
      </c>
      <c r="D164" s="25" t="e">
        <f>#REF!</f>
        <v>#REF!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/>
      <c r="I164" s="25" t="e">
        <f>#REF!</f>
        <v>#REF!</v>
      </c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</row>
    <row r="165" spans="1:177" s="1" customFormat="1" ht="16.5" hidden="1" thickBot="1">
      <c r="A165" s="20"/>
      <c r="B165" s="23" t="s">
        <v>23</v>
      </c>
      <c r="C165" s="25" t="e">
        <f>C124+#REF!+#REF!+#REF!+#REF!+#REF!+#REF!</f>
        <v>#REF!</v>
      </c>
      <c r="D165" s="25" t="e">
        <f>D124+#REF!+#REF!+#REF!+#REF!+#REF!+#REF!</f>
        <v>#REF!</v>
      </c>
      <c r="E165" s="25" t="e">
        <f>E124+#REF!+#REF!+#REF!+#REF!+#REF!+#REF!</f>
        <v>#REF!</v>
      </c>
      <c r="F165" s="25" t="e">
        <f>F124+#REF!+#REF!+#REF!+#REF!+#REF!+#REF!</f>
        <v>#REF!</v>
      </c>
      <c r="G165" s="25" t="e">
        <f>G124+#REF!+#REF!+#REF!+#REF!+#REF!+#REF!</f>
        <v>#REF!</v>
      </c>
      <c r="H165" s="25"/>
      <c r="I165" s="25" t="e">
        <f>I124+#REF!+#REF!+#REF!+#REF!+#REF!+#REF!</f>
        <v>#REF!</v>
      </c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</row>
    <row r="166" spans="1:177" s="1" customFormat="1" ht="16.5" hidden="1" thickBot="1">
      <c r="A166" s="20"/>
      <c r="B166" s="23" t="s">
        <v>29</v>
      </c>
      <c r="C166" s="25" t="e">
        <f>#REF!</f>
        <v>#REF!</v>
      </c>
      <c r="D166" s="25" t="e">
        <f>#REF!</f>
        <v>#REF!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/>
      <c r="I166" s="25" t="e">
        <f>#REF!</f>
        <v>#REF!</v>
      </c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</row>
    <row r="167" spans="1:177" s="1" customFormat="1" ht="16.5" hidden="1" thickBot="1">
      <c r="A167" s="20"/>
      <c r="B167" s="23" t="s">
        <v>24</v>
      </c>
      <c r="C167" s="25" t="e">
        <f>#REF!+#REF!</f>
        <v>#REF!</v>
      </c>
      <c r="D167" s="25" t="e">
        <f>#REF!+#REF!</f>
        <v>#REF!</v>
      </c>
      <c r="E167" s="25" t="e">
        <f>#REF!+#REF!</f>
        <v>#REF!</v>
      </c>
      <c r="F167" s="25" t="e">
        <f>#REF!+#REF!</f>
        <v>#REF!</v>
      </c>
      <c r="G167" s="25" t="e">
        <f>#REF!+#REF!</f>
        <v>#REF!</v>
      </c>
      <c r="H167" s="25"/>
      <c r="I167" s="25" t="e">
        <f>#REF!+#REF!</f>
        <v>#REF!</v>
      </c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</row>
    <row r="168" spans="1:177" s="1" customFormat="1" ht="16.5" hidden="1" thickBot="1">
      <c r="A168" s="20"/>
      <c r="B168" s="23" t="s">
        <v>25</v>
      </c>
      <c r="C168" s="25" t="e">
        <f>#REF!+#REF!</f>
        <v>#REF!</v>
      </c>
      <c r="D168" s="25" t="e">
        <f>#REF!+#REF!</f>
        <v>#REF!</v>
      </c>
      <c r="E168" s="25" t="e">
        <f>#REF!+#REF!</f>
        <v>#REF!</v>
      </c>
      <c r="F168" s="25" t="e">
        <f>#REF!+#REF!</f>
        <v>#REF!</v>
      </c>
      <c r="G168" s="25" t="e">
        <f>#REF!+#REF!</f>
        <v>#REF!</v>
      </c>
      <c r="H168" s="25"/>
      <c r="I168" s="25" t="e">
        <f>#REF!+#REF!</f>
        <v>#REF!</v>
      </c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</row>
    <row r="169" spans="1:177" s="1" customFormat="1" ht="16.5" hidden="1" thickBot="1">
      <c r="A169" s="20"/>
      <c r="B169" s="23" t="s">
        <v>26</v>
      </c>
      <c r="C169" s="25" t="e">
        <f>C167+C168</f>
        <v>#REF!</v>
      </c>
      <c r="D169" s="25" t="e">
        <f aca="true" t="shared" si="29" ref="D169:I169">D167+D168</f>
        <v>#REF!</v>
      </c>
      <c r="E169" s="25" t="e">
        <f t="shared" si="29"/>
        <v>#REF!</v>
      </c>
      <c r="F169" s="25" t="e">
        <f t="shared" si="29"/>
        <v>#REF!</v>
      </c>
      <c r="G169" s="25" t="e">
        <f t="shared" si="29"/>
        <v>#REF!</v>
      </c>
      <c r="H169" s="25"/>
      <c r="I169" s="25" t="e">
        <f t="shared" si="29"/>
        <v>#REF!</v>
      </c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</row>
    <row r="170" spans="1:177" s="1" customFormat="1" ht="16.5" hidden="1" thickBot="1">
      <c r="A170" s="20"/>
      <c r="B170" s="23" t="s">
        <v>27</v>
      </c>
      <c r="C170" s="25" t="e">
        <f>((C8+#REF!)-(C154)-((#REF!+#REF!)-C169))</f>
        <v>#REF!</v>
      </c>
      <c r="D170" s="25" t="e">
        <f>((D8+#REF!)-(D154)-((#REF!+#REF!)-D169))</f>
        <v>#REF!</v>
      </c>
      <c r="E170" s="25" t="e">
        <f>((E8+#REF!)-(E154)-((#REF!+#REF!)-E169))</f>
        <v>#REF!</v>
      </c>
      <c r="F170" s="25" t="e">
        <f>((F8+#REF!)-(F154)-((#REF!+#REF!)-F169))</f>
        <v>#REF!</v>
      </c>
      <c r="G170" s="25" t="e">
        <f>((G8+#REF!)-(G154)-((#REF!+#REF!)-G169))</f>
        <v>#REF!</v>
      </c>
      <c r="H170" s="25"/>
      <c r="I170" s="25" t="e">
        <f>((I8+#REF!)-(I154)-((#REF!+#REF!)-I169))</f>
        <v>#REF!</v>
      </c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</row>
    <row r="171" spans="1:177" s="1" customFormat="1" ht="16.5" hidden="1" thickBot="1">
      <c r="A171" s="20"/>
      <c r="B171" s="26" t="s">
        <v>28</v>
      </c>
      <c r="C171" s="27" t="e">
        <f>-(C170-(C167-C19-C20-C21-#REF!))</f>
        <v>#REF!</v>
      </c>
      <c r="D171" s="27" t="e">
        <f>-(D170-(D167-D19-D20-D21-#REF!))</f>
        <v>#REF!</v>
      </c>
      <c r="E171" s="27" t="e">
        <f>-(E170-(E167-E19-E20-E21-#REF!))</f>
        <v>#REF!</v>
      </c>
      <c r="F171" s="27" t="e">
        <f>-(F170-(F167-F19-F20-F21-#REF!))</f>
        <v>#REF!</v>
      </c>
      <c r="G171" s="27" t="e">
        <f>-(G170-(G167-G19-G20-G21-#REF!))</f>
        <v>#REF!</v>
      </c>
      <c r="H171" s="27"/>
      <c r="I171" s="27" t="e">
        <f>-(I170-(I167-I19-I20-I21-#REF!))</f>
        <v>#REF!</v>
      </c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</row>
    <row r="172" spans="1:177" s="1" customFormat="1" ht="16.5" thickTop="1">
      <c r="A172" s="20"/>
      <c r="B172" s="28"/>
      <c r="C172" s="28"/>
      <c r="D172" s="28"/>
      <c r="E172" s="28"/>
      <c r="F172" s="28"/>
      <c r="G172" s="28"/>
      <c r="H172" s="28"/>
      <c r="I172" s="2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</row>
    <row r="173" spans="2:177" s="1" customFormat="1" ht="15.75">
      <c r="B173" s="5"/>
      <c r="C173" s="5"/>
      <c r="D173" s="5"/>
      <c r="E173" s="5"/>
      <c r="F173" s="5"/>
      <c r="G173" s="5"/>
      <c r="H173" s="5"/>
      <c r="I173" s="5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</row>
    <row r="174" spans="2:177" s="1" customFormat="1" ht="15.75">
      <c r="B174" s="5"/>
      <c r="C174" s="5"/>
      <c r="D174" s="5"/>
      <c r="E174" s="5"/>
      <c r="F174" s="5"/>
      <c r="G174" s="5"/>
      <c r="H174" s="5"/>
      <c r="I174" s="5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</row>
    <row r="175" spans="2:177" s="1" customFormat="1" ht="15.75">
      <c r="B175" s="5"/>
      <c r="C175" s="5"/>
      <c r="D175" s="5"/>
      <c r="E175" s="5"/>
      <c r="F175" s="5"/>
      <c r="G175" s="5"/>
      <c r="H175" s="5"/>
      <c r="I175" s="5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</row>
    <row r="176" spans="2:177" s="1" customFormat="1" ht="15.75">
      <c r="B176" s="5"/>
      <c r="C176" s="5"/>
      <c r="D176" s="5"/>
      <c r="E176" s="5"/>
      <c r="F176" s="5"/>
      <c r="G176" s="5"/>
      <c r="H176" s="5"/>
      <c r="I176" s="5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</row>
    <row r="177" spans="2:177" s="1" customFormat="1" ht="15.75">
      <c r="B177" s="2"/>
      <c r="C177" s="5"/>
      <c r="D177" s="5"/>
      <c r="E177" s="5"/>
      <c r="F177" s="5"/>
      <c r="G177" s="5"/>
      <c r="H177" s="5"/>
      <c r="I177" s="5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</row>
    <row r="178" spans="2:177" s="1" customFormat="1" ht="15.75">
      <c r="B178" s="5"/>
      <c r="C178" s="5"/>
      <c r="D178" s="5"/>
      <c r="E178" s="5"/>
      <c r="F178" s="5"/>
      <c r="G178" s="5"/>
      <c r="H178" s="5"/>
      <c r="I178" s="5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</row>
    <row r="179" spans="2:177" s="1" customFormat="1" ht="15.75">
      <c r="B179" s="5"/>
      <c r="C179" s="5"/>
      <c r="D179" s="5"/>
      <c r="E179" s="5"/>
      <c r="F179" s="5"/>
      <c r="G179" s="5"/>
      <c r="H179" s="5"/>
      <c r="I179" s="5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</row>
    <row r="180" spans="2:177" s="1" customFormat="1" ht="15.75">
      <c r="B180" s="5"/>
      <c r="C180" s="5"/>
      <c r="D180" s="5"/>
      <c r="E180" s="5"/>
      <c r="F180" s="5"/>
      <c r="G180" s="5"/>
      <c r="H180" s="5"/>
      <c r="I180" s="5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</row>
    <row r="181" spans="2:177" s="1" customFormat="1" ht="15.75">
      <c r="B181" s="5"/>
      <c r="C181" s="5"/>
      <c r="D181" s="5"/>
      <c r="E181" s="5"/>
      <c r="F181" s="5"/>
      <c r="G181" s="5"/>
      <c r="H181" s="5"/>
      <c r="I181" s="5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</row>
    <row r="182" spans="2:177" s="1" customFormat="1" ht="15.75">
      <c r="B182" s="5"/>
      <c r="C182" s="5"/>
      <c r="D182" s="5"/>
      <c r="E182" s="5"/>
      <c r="F182" s="5"/>
      <c r="G182" s="5"/>
      <c r="H182" s="5"/>
      <c r="I182" s="5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</row>
    <row r="183" spans="2:177" s="1" customFormat="1" ht="15.75">
      <c r="B183" s="5"/>
      <c r="C183" s="5"/>
      <c r="D183" s="5"/>
      <c r="E183" s="5"/>
      <c r="F183" s="5"/>
      <c r="G183" s="5"/>
      <c r="H183" s="5"/>
      <c r="I183" s="5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</row>
    <row r="184" spans="2:177" s="1" customFormat="1" ht="18.75" customHeight="1">
      <c r="B184" s="5"/>
      <c r="C184" s="5"/>
      <c r="D184" s="5"/>
      <c r="E184" s="5"/>
      <c r="F184" s="5"/>
      <c r="G184" s="5"/>
      <c r="H184" s="5"/>
      <c r="I184" s="5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</row>
    <row r="185" spans="2:177" s="2" customFormat="1" ht="15.75">
      <c r="B185" s="5"/>
      <c r="C185" s="5"/>
      <c r="D185" s="5"/>
      <c r="E185" s="5"/>
      <c r="F185" s="5"/>
      <c r="G185" s="5"/>
      <c r="H185" s="5"/>
      <c r="I185" s="5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</row>
    <row r="186" spans="2:177" s="1" customFormat="1" ht="15.75">
      <c r="B186" s="5"/>
      <c r="C186" s="5"/>
      <c r="D186" s="5"/>
      <c r="E186" s="5"/>
      <c r="F186" s="5"/>
      <c r="G186" s="5"/>
      <c r="H186" s="5"/>
      <c r="I186" s="5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</row>
    <row r="187" spans="2:177" s="1" customFormat="1" ht="15.75">
      <c r="B187" s="5"/>
      <c r="C187" s="5"/>
      <c r="D187" s="5"/>
      <c r="E187" s="5"/>
      <c r="F187" s="5"/>
      <c r="G187" s="5"/>
      <c r="H187" s="5"/>
      <c r="I187" s="5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</row>
    <row r="188" spans="2:177" s="1" customFormat="1" ht="15.75">
      <c r="B188" s="5"/>
      <c r="C188" s="5"/>
      <c r="D188" s="5"/>
      <c r="E188" s="5"/>
      <c r="F188" s="5"/>
      <c r="G188" s="5"/>
      <c r="H188" s="5"/>
      <c r="I188" s="5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</row>
    <row r="189" spans="2:177" s="1" customFormat="1" ht="15.75">
      <c r="B189" s="5"/>
      <c r="C189" s="5"/>
      <c r="D189" s="5"/>
      <c r="E189" s="5"/>
      <c r="F189" s="5"/>
      <c r="G189" s="5"/>
      <c r="H189" s="5"/>
      <c r="I189" s="5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</row>
    <row r="190" spans="2:177" s="1" customFormat="1" ht="15.75">
      <c r="B190" s="5"/>
      <c r="C190" s="5"/>
      <c r="D190" s="5"/>
      <c r="E190" s="5"/>
      <c r="F190" s="5"/>
      <c r="G190" s="5"/>
      <c r="H190" s="5"/>
      <c r="I190" s="5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</row>
    <row r="191" spans="2:177" s="3" customFormat="1" ht="15.75">
      <c r="B191" s="5"/>
      <c r="C191" s="6"/>
      <c r="D191" s="6"/>
      <c r="E191" s="6"/>
      <c r="F191" s="6"/>
      <c r="G191" s="6"/>
      <c r="H191" s="6"/>
      <c r="I191" s="6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</row>
    <row r="192" spans="2:177" s="1" customFormat="1" ht="15.75">
      <c r="B192" s="2"/>
      <c r="C192" s="2"/>
      <c r="D192" s="2"/>
      <c r="E192" s="2"/>
      <c r="F192" s="2"/>
      <c r="G192" s="2"/>
      <c r="H192" s="2"/>
      <c r="I192" s="2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</row>
    <row r="193" spans="2:177" s="1" customFormat="1" ht="15.75">
      <c r="B193" s="2"/>
      <c r="C193" s="2"/>
      <c r="D193" s="2"/>
      <c r="E193" s="2"/>
      <c r="F193" s="2"/>
      <c r="G193" s="2"/>
      <c r="H193" s="2"/>
      <c r="I193" s="2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</row>
    <row r="194" spans="2:177" s="1" customFormat="1" ht="15.75">
      <c r="B194" s="2"/>
      <c r="C194" s="2"/>
      <c r="D194" s="2"/>
      <c r="E194" s="2"/>
      <c r="F194" s="2"/>
      <c r="G194" s="2"/>
      <c r="H194" s="2"/>
      <c r="I194" s="2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</row>
    <row r="195" spans="2:177" s="1" customFormat="1" ht="15.75">
      <c r="B195" s="2"/>
      <c r="C195" s="2"/>
      <c r="D195" s="2"/>
      <c r="E195" s="2"/>
      <c r="F195" s="2"/>
      <c r="G195" s="2"/>
      <c r="H195" s="2"/>
      <c r="I195" s="2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</row>
    <row r="196" spans="2:177" s="1" customFormat="1" ht="15.75">
      <c r="B196" s="2"/>
      <c r="C196" s="2"/>
      <c r="D196" s="2"/>
      <c r="E196" s="2"/>
      <c r="F196" s="2"/>
      <c r="G196" s="2"/>
      <c r="H196" s="2"/>
      <c r="I196" s="2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</row>
    <row r="197" spans="2:177" s="1" customFormat="1" ht="15.75">
      <c r="B197" s="2"/>
      <c r="C197" s="2"/>
      <c r="D197" s="2"/>
      <c r="E197" s="2"/>
      <c r="F197" s="2"/>
      <c r="G197" s="2"/>
      <c r="H197" s="2"/>
      <c r="I197" s="2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</row>
    <row r="198" spans="2:177" s="1" customFormat="1" ht="15.75">
      <c r="B198" s="2"/>
      <c r="C198" s="2"/>
      <c r="D198" s="2"/>
      <c r="E198" s="2"/>
      <c r="F198" s="2"/>
      <c r="G198" s="2"/>
      <c r="H198" s="2"/>
      <c r="I198" s="2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</row>
    <row r="199" spans="2:177" s="1" customFormat="1" ht="15.75">
      <c r="B199" s="2"/>
      <c r="C199" s="2"/>
      <c r="D199" s="2"/>
      <c r="E199" s="2"/>
      <c r="F199" s="2"/>
      <c r="G199" s="2"/>
      <c r="H199" s="2"/>
      <c r="I199" s="2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</row>
    <row r="200" spans="10:177" s="1" customFormat="1" ht="15.75"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</row>
    <row r="201" spans="10:177" s="1" customFormat="1" ht="15.75"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</row>
    <row r="202" spans="10:177" s="1" customFormat="1" ht="15.75"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</row>
    <row r="203" spans="10:177" s="1" customFormat="1" ht="15.75"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</row>
    <row r="204" spans="10:177" s="1" customFormat="1" ht="15.75"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</row>
    <row r="205" spans="10:177" s="1" customFormat="1" ht="15.75"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</row>
    <row r="206" spans="10:177" s="1" customFormat="1" ht="15.75"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</row>
    <row r="207" spans="10:177" s="1" customFormat="1" ht="15.75"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</row>
    <row r="208" spans="10:177" s="1" customFormat="1" ht="15.75"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</row>
    <row r="209" spans="10:177" s="1" customFormat="1" ht="15.75"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</row>
    <row r="210" spans="10:177" s="1" customFormat="1" ht="15.75"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</row>
    <row r="211" spans="10:177" s="1" customFormat="1" ht="15.75"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</row>
    <row r="212" spans="10:177" s="1" customFormat="1" ht="15.75"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</row>
    <row r="213" spans="10:177" s="1" customFormat="1" ht="15.75"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</row>
    <row r="214" spans="10:177" s="1" customFormat="1" ht="15.75"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</row>
    <row r="215" spans="10:177" s="1" customFormat="1" ht="15.75"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</row>
    <row r="216" spans="10:177" s="1" customFormat="1" ht="15.75"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</row>
    <row r="217" spans="10:177" s="1" customFormat="1" ht="15.75"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</row>
    <row r="218" spans="10:177" s="1" customFormat="1" ht="15.75"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</row>
    <row r="219" spans="10:177" s="1" customFormat="1" ht="15.75"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</row>
    <row r="220" spans="10:177" s="1" customFormat="1" ht="15.75"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</row>
    <row r="221" spans="10:177" s="1" customFormat="1" ht="15.75"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</row>
    <row r="222" spans="10:177" s="1" customFormat="1" ht="15.75"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</row>
    <row r="223" spans="10:177" s="1" customFormat="1" ht="15.75"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</row>
    <row r="224" spans="10:177" s="1" customFormat="1" ht="15.75"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</row>
    <row r="225" spans="10:177" s="1" customFormat="1" ht="15.75"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</row>
    <row r="226" spans="10:177" s="1" customFormat="1" ht="15.75"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</row>
    <row r="227" spans="10:177" s="1" customFormat="1" ht="15.75"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</row>
    <row r="228" spans="10:177" s="1" customFormat="1" ht="15.75"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</row>
    <row r="229" spans="10:177" s="1" customFormat="1" ht="15.75"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</row>
    <row r="230" spans="10:177" s="1" customFormat="1" ht="15.75"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</row>
    <row r="231" spans="10:177" s="1" customFormat="1" ht="15.75"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</row>
    <row r="232" spans="10:177" s="1" customFormat="1" ht="15.75"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</row>
    <row r="233" spans="10:177" s="1" customFormat="1" ht="15.75"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8"/>
      <c r="FD233" s="58"/>
      <c r="FE233" s="58"/>
      <c r="FF233" s="58"/>
      <c r="FG233" s="58"/>
      <c r="FH233" s="58"/>
      <c r="FI233" s="58"/>
      <c r="FJ233" s="58"/>
      <c r="FK233" s="58"/>
      <c r="FL233" s="58"/>
      <c r="FM233" s="58"/>
      <c r="FN233" s="58"/>
      <c r="FO233" s="58"/>
      <c r="FP233" s="58"/>
      <c r="FQ233" s="58"/>
      <c r="FR233" s="58"/>
      <c r="FS233" s="58"/>
      <c r="FT233" s="58"/>
      <c r="FU233" s="58"/>
    </row>
    <row r="234" spans="10:177" s="1" customFormat="1" ht="15.75"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58"/>
      <c r="EY234" s="58"/>
      <c r="EZ234" s="58"/>
      <c r="FA234" s="58"/>
      <c r="FB234" s="58"/>
      <c r="FC234" s="58"/>
      <c r="FD234" s="58"/>
      <c r="FE234" s="58"/>
      <c r="FF234" s="58"/>
      <c r="FG234" s="58"/>
      <c r="FH234" s="58"/>
      <c r="FI234" s="58"/>
      <c r="FJ234" s="58"/>
      <c r="FK234" s="58"/>
      <c r="FL234" s="58"/>
      <c r="FM234" s="58"/>
      <c r="FN234" s="58"/>
      <c r="FO234" s="58"/>
      <c r="FP234" s="58"/>
      <c r="FQ234" s="58"/>
      <c r="FR234" s="58"/>
      <c r="FS234" s="58"/>
      <c r="FT234" s="58"/>
      <c r="FU234" s="58"/>
    </row>
    <row r="235" spans="10:177" s="1" customFormat="1" ht="15.75"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  <c r="EV235" s="58"/>
      <c r="EW235" s="58"/>
      <c r="EX235" s="58"/>
      <c r="EY235" s="58"/>
      <c r="EZ235" s="58"/>
      <c r="FA235" s="58"/>
      <c r="FB235" s="58"/>
      <c r="FC235" s="58"/>
      <c r="FD235" s="58"/>
      <c r="FE235" s="58"/>
      <c r="FF235" s="58"/>
      <c r="FG235" s="58"/>
      <c r="FH235" s="58"/>
      <c r="FI235" s="58"/>
      <c r="FJ235" s="58"/>
      <c r="FK235" s="58"/>
      <c r="FL235" s="58"/>
      <c r="FM235" s="58"/>
      <c r="FN235" s="58"/>
      <c r="FO235" s="58"/>
      <c r="FP235" s="58"/>
      <c r="FQ235" s="58"/>
      <c r="FR235" s="58"/>
      <c r="FS235" s="58"/>
      <c r="FT235" s="58"/>
      <c r="FU235" s="58"/>
    </row>
    <row r="236" spans="10:177" s="1" customFormat="1" ht="15.75"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58"/>
      <c r="EY236" s="58"/>
      <c r="EZ236" s="58"/>
      <c r="FA236" s="58"/>
      <c r="FB236" s="58"/>
      <c r="FC236" s="58"/>
      <c r="FD236" s="58"/>
      <c r="FE236" s="58"/>
      <c r="FF236" s="58"/>
      <c r="FG236" s="58"/>
      <c r="FH236" s="58"/>
      <c r="FI236" s="58"/>
      <c r="FJ236" s="58"/>
      <c r="FK236" s="58"/>
      <c r="FL236" s="58"/>
      <c r="FM236" s="58"/>
      <c r="FN236" s="58"/>
      <c r="FO236" s="58"/>
      <c r="FP236" s="58"/>
      <c r="FQ236" s="58"/>
      <c r="FR236" s="58"/>
      <c r="FS236" s="58"/>
      <c r="FT236" s="58"/>
      <c r="FU236" s="58"/>
    </row>
    <row r="237" spans="10:177" s="1" customFormat="1" ht="15.75"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8"/>
      <c r="FD237" s="58"/>
      <c r="FE237" s="58"/>
      <c r="FF237" s="58"/>
      <c r="FG237" s="58"/>
      <c r="FH237" s="58"/>
      <c r="FI237" s="58"/>
      <c r="FJ237" s="58"/>
      <c r="FK237" s="58"/>
      <c r="FL237" s="58"/>
      <c r="FM237" s="58"/>
      <c r="FN237" s="58"/>
      <c r="FO237" s="58"/>
      <c r="FP237" s="58"/>
      <c r="FQ237" s="58"/>
      <c r="FR237" s="58"/>
      <c r="FS237" s="58"/>
      <c r="FT237" s="58"/>
      <c r="FU237" s="58"/>
    </row>
    <row r="238" spans="10:177" s="1" customFormat="1" ht="15.75"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8"/>
      <c r="EW238" s="58"/>
      <c r="EX238" s="58"/>
      <c r="EY238" s="58"/>
      <c r="EZ238" s="58"/>
      <c r="FA238" s="58"/>
      <c r="FB238" s="58"/>
      <c r="FC238" s="58"/>
      <c r="FD238" s="58"/>
      <c r="FE238" s="58"/>
      <c r="FF238" s="58"/>
      <c r="FG238" s="58"/>
      <c r="FH238" s="58"/>
      <c r="FI238" s="58"/>
      <c r="FJ238" s="58"/>
      <c r="FK238" s="58"/>
      <c r="FL238" s="58"/>
      <c r="FM238" s="58"/>
      <c r="FN238" s="58"/>
      <c r="FO238" s="58"/>
      <c r="FP238" s="58"/>
      <c r="FQ238" s="58"/>
      <c r="FR238" s="58"/>
      <c r="FS238" s="58"/>
      <c r="FT238" s="58"/>
      <c r="FU238" s="58"/>
    </row>
    <row r="239" spans="10:177" s="1" customFormat="1" ht="15.75"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58"/>
      <c r="EX239" s="58"/>
      <c r="EY239" s="58"/>
      <c r="EZ239" s="58"/>
      <c r="FA239" s="58"/>
      <c r="FB239" s="58"/>
      <c r="FC239" s="58"/>
      <c r="FD239" s="58"/>
      <c r="FE239" s="58"/>
      <c r="FF239" s="58"/>
      <c r="FG239" s="58"/>
      <c r="FH239" s="58"/>
      <c r="FI239" s="58"/>
      <c r="FJ239" s="58"/>
      <c r="FK239" s="58"/>
      <c r="FL239" s="58"/>
      <c r="FM239" s="58"/>
      <c r="FN239" s="58"/>
      <c r="FO239" s="58"/>
      <c r="FP239" s="58"/>
      <c r="FQ239" s="58"/>
      <c r="FR239" s="58"/>
      <c r="FS239" s="58"/>
      <c r="FT239" s="58"/>
      <c r="FU239" s="58"/>
    </row>
    <row r="240" spans="10:177" s="1" customFormat="1" ht="15.75"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8"/>
      <c r="EZ240" s="58"/>
      <c r="FA240" s="58"/>
      <c r="FB240" s="58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8"/>
      <c r="FN240" s="58"/>
      <c r="FO240" s="58"/>
      <c r="FP240" s="58"/>
      <c r="FQ240" s="58"/>
      <c r="FR240" s="58"/>
      <c r="FS240" s="58"/>
      <c r="FT240" s="58"/>
      <c r="FU240" s="58"/>
    </row>
    <row r="241" spans="10:177" s="1" customFormat="1" ht="15.75"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8"/>
      <c r="EZ241" s="58"/>
      <c r="FA241" s="58"/>
      <c r="FB241" s="58"/>
      <c r="FC241" s="58"/>
      <c r="FD241" s="58"/>
      <c r="FE241" s="58"/>
      <c r="FF241" s="58"/>
      <c r="FG241" s="58"/>
      <c r="FH241" s="58"/>
      <c r="FI241" s="58"/>
      <c r="FJ241" s="58"/>
      <c r="FK241" s="58"/>
      <c r="FL241" s="58"/>
      <c r="FM241" s="58"/>
      <c r="FN241" s="58"/>
      <c r="FO241" s="58"/>
      <c r="FP241" s="58"/>
      <c r="FQ241" s="58"/>
      <c r="FR241" s="58"/>
      <c r="FS241" s="58"/>
      <c r="FT241" s="58"/>
      <c r="FU241" s="58"/>
    </row>
    <row r="242" spans="10:177" s="1" customFormat="1" ht="15.75"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</row>
    <row r="243" spans="10:177" s="1" customFormat="1" ht="15.75"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</row>
    <row r="244" spans="10:177" s="1" customFormat="1" ht="15.75"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</row>
    <row r="245" spans="10:177" s="1" customFormat="1" ht="15.75"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</row>
    <row r="246" spans="10:177" s="1" customFormat="1" ht="15.75"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</row>
    <row r="247" spans="10:177" s="1" customFormat="1" ht="15.75"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</row>
    <row r="248" spans="10:177" s="1" customFormat="1" ht="15.75"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</row>
    <row r="249" spans="10:177" s="1" customFormat="1" ht="15.75"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</row>
    <row r="250" spans="10:177" s="1" customFormat="1" ht="15.75"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</row>
    <row r="251" spans="10:177" s="1" customFormat="1" ht="15.75"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</row>
    <row r="252" spans="10:177" s="1" customFormat="1" ht="15.75"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</row>
    <row r="253" spans="10:177" s="1" customFormat="1" ht="15.75"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</row>
    <row r="254" spans="10:177" s="1" customFormat="1" ht="15.75"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</row>
    <row r="255" spans="10:177" s="1" customFormat="1" ht="15.75"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</row>
    <row r="256" spans="10:177" s="1" customFormat="1" ht="15.75"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</row>
    <row r="257" spans="10:177" s="1" customFormat="1" ht="15.75"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</row>
    <row r="258" spans="10:177" s="1" customFormat="1" ht="15.75"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</row>
    <row r="259" spans="10:177" s="1" customFormat="1" ht="15.75"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</row>
    <row r="260" spans="10:177" s="1" customFormat="1" ht="15.75"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</row>
    <row r="261" spans="10:177" s="1" customFormat="1" ht="15.75"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8"/>
      <c r="FD261" s="58"/>
      <c r="FE261" s="58"/>
      <c r="FF261" s="58"/>
      <c r="FG261" s="58"/>
      <c r="FH261" s="58"/>
      <c r="FI261" s="58"/>
      <c r="FJ261" s="58"/>
      <c r="FK261" s="58"/>
      <c r="FL261" s="58"/>
      <c r="FM261" s="58"/>
      <c r="FN261" s="58"/>
      <c r="FO261" s="58"/>
      <c r="FP261" s="58"/>
      <c r="FQ261" s="58"/>
      <c r="FR261" s="58"/>
      <c r="FS261" s="58"/>
      <c r="FT261" s="58"/>
      <c r="FU261" s="58"/>
    </row>
    <row r="262" spans="10:177" s="1" customFormat="1" ht="15.75"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8"/>
      <c r="FD262" s="58"/>
      <c r="FE262" s="58"/>
      <c r="FF262" s="58"/>
      <c r="FG262" s="58"/>
      <c r="FH262" s="58"/>
      <c r="FI262" s="58"/>
      <c r="FJ262" s="58"/>
      <c r="FK262" s="58"/>
      <c r="FL262" s="58"/>
      <c r="FM262" s="58"/>
      <c r="FN262" s="58"/>
      <c r="FO262" s="58"/>
      <c r="FP262" s="58"/>
      <c r="FQ262" s="58"/>
      <c r="FR262" s="58"/>
      <c r="FS262" s="58"/>
      <c r="FT262" s="58"/>
      <c r="FU262" s="58"/>
    </row>
    <row r="263" spans="10:177" s="1" customFormat="1" ht="15.75"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</row>
    <row r="264" spans="10:177" s="1" customFormat="1" ht="15.75"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  <c r="EN264" s="58"/>
      <c r="EO264" s="58"/>
      <c r="EP264" s="58"/>
      <c r="EQ264" s="58"/>
      <c r="ER264" s="58"/>
      <c r="ES264" s="58"/>
      <c r="ET264" s="58"/>
      <c r="EU264" s="58"/>
      <c r="EV264" s="58"/>
      <c r="EW264" s="58"/>
      <c r="EX264" s="58"/>
      <c r="EY264" s="58"/>
      <c r="EZ264" s="58"/>
      <c r="FA264" s="58"/>
      <c r="FB264" s="58"/>
      <c r="FC264" s="58"/>
      <c r="FD264" s="58"/>
      <c r="FE264" s="58"/>
      <c r="FF264" s="58"/>
      <c r="FG264" s="58"/>
      <c r="FH264" s="58"/>
      <c r="FI264" s="58"/>
      <c r="FJ264" s="58"/>
      <c r="FK264" s="58"/>
      <c r="FL264" s="58"/>
      <c r="FM264" s="58"/>
      <c r="FN264" s="58"/>
      <c r="FO264" s="58"/>
      <c r="FP264" s="58"/>
      <c r="FQ264" s="58"/>
      <c r="FR264" s="58"/>
      <c r="FS264" s="58"/>
      <c r="FT264" s="58"/>
      <c r="FU264" s="58"/>
    </row>
    <row r="265" spans="10:177" s="1" customFormat="1" ht="15.75"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58"/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</row>
    <row r="266" spans="10:177" s="1" customFormat="1" ht="15.75"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</row>
    <row r="267" spans="10:177" s="1" customFormat="1" ht="15.75"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</row>
    <row r="268" spans="10:177" s="1" customFormat="1" ht="15.75"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58"/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</row>
    <row r="269" spans="10:177" s="1" customFormat="1" ht="15.75"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</row>
    <row r="270" spans="10:177" s="1" customFormat="1" ht="15.75"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  <c r="EV270" s="58"/>
      <c r="EW270" s="58"/>
      <c r="EX270" s="58"/>
      <c r="EY270" s="58"/>
      <c r="EZ270" s="58"/>
      <c r="FA270" s="58"/>
      <c r="FB270" s="58"/>
      <c r="FC270" s="58"/>
      <c r="FD270" s="58"/>
      <c r="FE270" s="58"/>
      <c r="FF270" s="58"/>
      <c r="FG270" s="58"/>
      <c r="FH270" s="58"/>
      <c r="FI270" s="58"/>
      <c r="FJ270" s="58"/>
      <c r="FK270" s="58"/>
      <c r="FL270" s="58"/>
      <c r="FM270" s="58"/>
      <c r="FN270" s="58"/>
      <c r="FO270" s="58"/>
      <c r="FP270" s="58"/>
      <c r="FQ270" s="58"/>
      <c r="FR270" s="58"/>
      <c r="FS270" s="58"/>
      <c r="FT270" s="58"/>
      <c r="FU270" s="58"/>
    </row>
    <row r="271" spans="10:177" s="1" customFormat="1" ht="15.75"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8"/>
      <c r="FD271" s="58"/>
      <c r="FE271" s="58"/>
      <c r="FF271" s="58"/>
      <c r="FG271" s="58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  <c r="FS271" s="58"/>
      <c r="FT271" s="58"/>
      <c r="FU271" s="58"/>
    </row>
    <row r="272" spans="10:177" s="1" customFormat="1" ht="15.75"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</row>
    <row r="273" spans="10:177" s="1" customFormat="1" ht="15.75"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</row>
    <row r="274" spans="10:177" s="1" customFormat="1" ht="15.75"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</row>
    <row r="275" spans="10:177" s="1" customFormat="1" ht="15.75"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</row>
    <row r="276" spans="10:177" s="1" customFormat="1" ht="15.75"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</row>
    <row r="277" spans="10:177" s="1" customFormat="1" ht="15.75"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</row>
    <row r="278" spans="10:177" s="1" customFormat="1" ht="15.75"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</row>
    <row r="279" spans="10:177" s="1" customFormat="1" ht="15.75"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</row>
    <row r="280" spans="10:177" s="1" customFormat="1" ht="15.75"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</row>
    <row r="281" spans="10:177" s="1" customFormat="1" ht="15.75"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</row>
    <row r="282" spans="10:177" s="1" customFormat="1" ht="15.75"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</row>
    <row r="283" spans="10:177" s="1" customFormat="1" ht="15.75"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</row>
    <row r="284" spans="10:177" s="1" customFormat="1" ht="15.75"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</row>
    <row r="285" spans="10:177" s="1" customFormat="1" ht="15.75"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</row>
    <row r="286" spans="10:177" s="1" customFormat="1" ht="15.75"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</row>
    <row r="287" spans="10:177" s="1" customFormat="1" ht="15.75"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</row>
    <row r="288" spans="10:177" s="1" customFormat="1" ht="15.75"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</row>
    <row r="289" spans="10:177" s="1" customFormat="1" ht="15.75"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</row>
    <row r="290" spans="10:177" s="1" customFormat="1" ht="15.75"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  <c r="EN290" s="58"/>
      <c r="EO290" s="58"/>
      <c r="EP290" s="58"/>
      <c r="EQ290" s="58"/>
      <c r="ER290" s="58"/>
      <c r="ES290" s="58"/>
      <c r="ET290" s="58"/>
      <c r="EU290" s="58"/>
      <c r="EV290" s="58"/>
      <c r="EW290" s="58"/>
      <c r="EX290" s="58"/>
      <c r="EY290" s="58"/>
      <c r="EZ290" s="58"/>
      <c r="FA290" s="58"/>
      <c r="FB290" s="58"/>
      <c r="FC290" s="58"/>
      <c r="FD290" s="58"/>
      <c r="FE290" s="58"/>
      <c r="FF290" s="58"/>
      <c r="FG290" s="58"/>
      <c r="FH290" s="58"/>
      <c r="FI290" s="58"/>
      <c r="FJ290" s="58"/>
      <c r="FK290" s="58"/>
      <c r="FL290" s="58"/>
      <c r="FM290" s="58"/>
      <c r="FN290" s="58"/>
      <c r="FO290" s="58"/>
      <c r="FP290" s="58"/>
      <c r="FQ290" s="58"/>
      <c r="FR290" s="58"/>
      <c r="FS290" s="58"/>
      <c r="FT290" s="58"/>
      <c r="FU290" s="58"/>
    </row>
    <row r="291" spans="10:177" s="1" customFormat="1" ht="15.75"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</row>
    <row r="292" spans="10:177" s="1" customFormat="1" ht="15.75"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</row>
    <row r="293" spans="10:177" s="1" customFormat="1" ht="15.75"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</row>
    <row r="294" spans="10:177" s="1" customFormat="1" ht="15.75"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</row>
    <row r="295" spans="10:177" s="1" customFormat="1" ht="15.75"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</row>
    <row r="296" spans="10:177" s="1" customFormat="1" ht="15.75"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  <c r="EV296" s="58"/>
      <c r="EW296" s="58"/>
      <c r="EX296" s="58"/>
      <c r="EY296" s="58"/>
      <c r="EZ296" s="58"/>
      <c r="FA296" s="58"/>
      <c r="FB296" s="58"/>
      <c r="FC296" s="58"/>
      <c r="FD296" s="58"/>
      <c r="FE296" s="58"/>
      <c r="FF296" s="58"/>
      <c r="FG296" s="58"/>
      <c r="FH296" s="58"/>
      <c r="FI296" s="58"/>
      <c r="FJ296" s="58"/>
      <c r="FK296" s="58"/>
      <c r="FL296" s="58"/>
      <c r="FM296" s="58"/>
      <c r="FN296" s="58"/>
      <c r="FO296" s="58"/>
      <c r="FP296" s="58"/>
      <c r="FQ296" s="58"/>
      <c r="FR296" s="58"/>
      <c r="FS296" s="58"/>
      <c r="FT296" s="58"/>
      <c r="FU296" s="58"/>
    </row>
    <row r="297" spans="10:177" s="1" customFormat="1" ht="15.75"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  <c r="EN297" s="58"/>
      <c r="EO297" s="58"/>
      <c r="EP297" s="58"/>
      <c r="EQ297" s="58"/>
      <c r="ER297" s="58"/>
      <c r="ES297" s="58"/>
      <c r="ET297" s="58"/>
      <c r="EU297" s="58"/>
      <c r="EV297" s="58"/>
      <c r="EW297" s="58"/>
      <c r="EX297" s="58"/>
      <c r="EY297" s="58"/>
      <c r="EZ297" s="58"/>
      <c r="FA297" s="58"/>
      <c r="FB297" s="58"/>
      <c r="FC297" s="58"/>
      <c r="FD297" s="58"/>
      <c r="FE297" s="58"/>
      <c r="FF297" s="58"/>
      <c r="FG297" s="58"/>
      <c r="FH297" s="58"/>
      <c r="FI297" s="58"/>
      <c r="FJ297" s="58"/>
      <c r="FK297" s="58"/>
      <c r="FL297" s="58"/>
      <c r="FM297" s="58"/>
      <c r="FN297" s="58"/>
      <c r="FO297" s="58"/>
      <c r="FP297" s="58"/>
      <c r="FQ297" s="58"/>
      <c r="FR297" s="58"/>
      <c r="FS297" s="58"/>
      <c r="FT297" s="58"/>
      <c r="FU297" s="58"/>
    </row>
    <row r="298" spans="10:177" s="1" customFormat="1" ht="15.75"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58"/>
      <c r="EY298" s="58"/>
      <c r="EZ298" s="58"/>
      <c r="FA298" s="58"/>
      <c r="FB298" s="58"/>
      <c r="FC298" s="58"/>
      <c r="FD298" s="58"/>
      <c r="FE298" s="58"/>
      <c r="FF298" s="58"/>
      <c r="FG298" s="58"/>
      <c r="FH298" s="58"/>
      <c r="FI298" s="58"/>
      <c r="FJ298" s="58"/>
      <c r="FK298" s="58"/>
      <c r="FL298" s="58"/>
      <c r="FM298" s="58"/>
      <c r="FN298" s="58"/>
      <c r="FO298" s="58"/>
      <c r="FP298" s="58"/>
      <c r="FQ298" s="58"/>
      <c r="FR298" s="58"/>
      <c r="FS298" s="58"/>
      <c r="FT298" s="58"/>
      <c r="FU298" s="58"/>
    </row>
    <row r="299" spans="10:177" s="1" customFormat="1" ht="15.75"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  <c r="EV299" s="58"/>
      <c r="EW299" s="58"/>
      <c r="EX299" s="58"/>
      <c r="EY299" s="58"/>
      <c r="EZ299" s="58"/>
      <c r="FA299" s="58"/>
      <c r="FB299" s="58"/>
      <c r="FC299" s="58"/>
      <c r="FD299" s="58"/>
      <c r="FE299" s="58"/>
      <c r="FF299" s="58"/>
      <c r="FG299" s="58"/>
      <c r="FH299" s="58"/>
      <c r="FI299" s="58"/>
      <c r="FJ299" s="58"/>
      <c r="FK299" s="58"/>
      <c r="FL299" s="58"/>
      <c r="FM299" s="58"/>
      <c r="FN299" s="58"/>
      <c r="FO299" s="58"/>
      <c r="FP299" s="58"/>
      <c r="FQ299" s="58"/>
      <c r="FR299" s="58"/>
      <c r="FS299" s="58"/>
      <c r="FT299" s="58"/>
      <c r="FU299" s="58"/>
    </row>
    <row r="300" spans="10:177" s="1" customFormat="1" ht="15.75"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</row>
    <row r="301" spans="10:177" s="1" customFormat="1" ht="15.75"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  <c r="EN301" s="58"/>
      <c r="EO301" s="58"/>
      <c r="EP301" s="58"/>
      <c r="EQ301" s="58"/>
      <c r="ER301" s="58"/>
      <c r="ES301" s="58"/>
      <c r="ET301" s="58"/>
      <c r="EU301" s="58"/>
      <c r="EV301" s="58"/>
      <c r="EW301" s="58"/>
      <c r="EX301" s="58"/>
      <c r="EY301" s="58"/>
      <c r="EZ301" s="58"/>
      <c r="FA301" s="58"/>
      <c r="FB301" s="58"/>
      <c r="FC301" s="58"/>
      <c r="FD301" s="58"/>
      <c r="FE301" s="58"/>
      <c r="FF301" s="58"/>
      <c r="FG301" s="58"/>
      <c r="FH301" s="58"/>
      <c r="FI301" s="58"/>
      <c r="FJ301" s="58"/>
      <c r="FK301" s="58"/>
      <c r="FL301" s="58"/>
      <c r="FM301" s="58"/>
      <c r="FN301" s="58"/>
      <c r="FO301" s="58"/>
      <c r="FP301" s="58"/>
      <c r="FQ301" s="58"/>
      <c r="FR301" s="58"/>
      <c r="FS301" s="58"/>
      <c r="FT301" s="58"/>
      <c r="FU301" s="58"/>
    </row>
    <row r="302" spans="10:177" s="1" customFormat="1" ht="15.75"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  <c r="EN302" s="58"/>
      <c r="EO302" s="58"/>
      <c r="EP302" s="58"/>
      <c r="EQ302" s="58"/>
      <c r="ER302" s="58"/>
      <c r="ES302" s="58"/>
      <c r="ET302" s="58"/>
      <c r="EU302" s="58"/>
      <c r="EV302" s="58"/>
      <c r="EW302" s="58"/>
      <c r="EX302" s="58"/>
      <c r="EY302" s="58"/>
      <c r="EZ302" s="58"/>
      <c r="FA302" s="58"/>
      <c r="FB302" s="58"/>
      <c r="FC302" s="58"/>
      <c r="FD302" s="58"/>
      <c r="FE302" s="58"/>
      <c r="FF302" s="58"/>
      <c r="FG302" s="58"/>
      <c r="FH302" s="58"/>
      <c r="FI302" s="58"/>
      <c r="FJ302" s="58"/>
      <c r="FK302" s="58"/>
      <c r="FL302" s="58"/>
      <c r="FM302" s="58"/>
      <c r="FN302" s="58"/>
      <c r="FO302" s="58"/>
      <c r="FP302" s="58"/>
      <c r="FQ302" s="58"/>
      <c r="FR302" s="58"/>
      <c r="FS302" s="58"/>
      <c r="FT302" s="58"/>
      <c r="FU302" s="58"/>
    </row>
    <row r="303" spans="10:177" s="1" customFormat="1" ht="15.75"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  <c r="EN303" s="58"/>
      <c r="EO303" s="58"/>
      <c r="EP303" s="58"/>
      <c r="EQ303" s="58"/>
      <c r="ER303" s="58"/>
      <c r="ES303" s="58"/>
      <c r="ET303" s="58"/>
      <c r="EU303" s="58"/>
      <c r="EV303" s="58"/>
      <c r="EW303" s="58"/>
      <c r="EX303" s="58"/>
      <c r="EY303" s="58"/>
      <c r="EZ303" s="58"/>
      <c r="FA303" s="58"/>
      <c r="FB303" s="58"/>
      <c r="FC303" s="58"/>
      <c r="FD303" s="58"/>
      <c r="FE303" s="58"/>
      <c r="FF303" s="58"/>
      <c r="FG303" s="58"/>
      <c r="FH303" s="58"/>
      <c r="FI303" s="58"/>
      <c r="FJ303" s="58"/>
      <c r="FK303" s="58"/>
      <c r="FL303" s="58"/>
      <c r="FM303" s="58"/>
      <c r="FN303" s="58"/>
      <c r="FO303" s="58"/>
      <c r="FP303" s="58"/>
      <c r="FQ303" s="58"/>
      <c r="FR303" s="58"/>
      <c r="FS303" s="58"/>
      <c r="FT303" s="58"/>
      <c r="FU303" s="58"/>
    </row>
    <row r="304" spans="10:177" s="1" customFormat="1" ht="15.75"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</row>
    <row r="305" spans="10:177" s="1" customFormat="1" ht="15.75"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8"/>
      <c r="EY305" s="58"/>
      <c r="EZ305" s="58"/>
      <c r="FA305" s="58"/>
      <c r="FB305" s="58"/>
      <c r="FC305" s="58"/>
      <c r="FD305" s="58"/>
      <c r="FE305" s="58"/>
      <c r="FF305" s="58"/>
      <c r="FG305" s="58"/>
      <c r="FH305" s="58"/>
      <c r="FI305" s="58"/>
      <c r="FJ305" s="58"/>
      <c r="FK305" s="58"/>
      <c r="FL305" s="58"/>
      <c r="FM305" s="58"/>
      <c r="FN305" s="58"/>
      <c r="FO305" s="58"/>
      <c r="FP305" s="58"/>
      <c r="FQ305" s="58"/>
      <c r="FR305" s="58"/>
      <c r="FS305" s="58"/>
      <c r="FT305" s="58"/>
      <c r="FU305" s="58"/>
    </row>
  </sheetData>
  <sheetProtection/>
  <mergeCells count="7">
    <mergeCell ref="A110:I110"/>
    <mergeCell ref="A1:I1"/>
    <mergeCell ref="A2:I2"/>
    <mergeCell ref="A3:I3"/>
    <mergeCell ref="A109:I109"/>
    <mergeCell ref="A108:I108"/>
    <mergeCell ref="A107:I10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  <rowBreaks count="2" manualBreakCount="2">
    <brk id="105" max="38" man="1"/>
    <brk id="109" max="255" man="1"/>
  </rowBreaks>
  <colBreaks count="1" manualBreakCount="1">
    <brk id="3" max="1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0.140625" style="0" customWidth="1"/>
    <col min="2" max="2" width="14.8515625" style="0" customWidth="1"/>
    <col min="3" max="3" width="16.57421875" style="0" customWidth="1"/>
    <col min="4" max="4" width="16.140625" style="0" customWidth="1"/>
    <col min="5" max="5" width="16.28125" style="0" customWidth="1"/>
    <col min="6" max="6" width="15.28125" style="0" customWidth="1"/>
  </cols>
  <sheetData>
    <row r="1" spans="1:6" ht="12.75">
      <c r="A1" s="236" t="str">
        <f>Parâmetros!A7</f>
        <v>Município de : JACUIZINHO RS</v>
      </c>
      <c r="B1" s="236"/>
      <c r="C1" s="236"/>
      <c r="D1" s="237"/>
      <c r="E1" s="237"/>
      <c r="F1" s="237"/>
    </row>
    <row r="2" spans="1:6" ht="12.75">
      <c r="A2" s="238" t="str">
        <f>Parâmetros!A8</f>
        <v>LEI ORÇAMENTÁRIA PARA 2020</v>
      </c>
      <c r="B2" s="238"/>
      <c r="C2" s="238"/>
      <c r="D2" s="237"/>
      <c r="E2" s="237"/>
      <c r="F2" s="237"/>
    </row>
    <row r="3" spans="1:6" ht="12.75">
      <c r="A3" s="239" t="s">
        <v>375</v>
      </c>
      <c r="B3" s="239"/>
      <c r="C3" s="239"/>
      <c r="D3" s="239"/>
      <c r="E3" s="239"/>
      <c r="F3" s="239"/>
    </row>
    <row r="4" spans="1:6" ht="12.75">
      <c r="A4" s="240" t="s">
        <v>364</v>
      </c>
      <c r="B4" s="241"/>
      <c r="C4" s="241"/>
      <c r="D4" s="241"/>
      <c r="E4" s="241"/>
      <c r="F4" s="241"/>
    </row>
    <row r="5" spans="1:6" ht="12.75">
      <c r="A5" s="70" t="s">
        <v>45</v>
      </c>
      <c r="B5" s="71">
        <v>2017</v>
      </c>
      <c r="C5" s="71">
        <f>B5+1</f>
        <v>2018</v>
      </c>
      <c r="D5" s="71">
        <f>C5+1</f>
        <v>2019</v>
      </c>
      <c r="E5" s="71">
        <f>D5+1</f>
        <v>2020</v>
      </c>
      <c r="F5" s="71">
        <f>E5+1</f>
        <v>2021</v>
      </c>
    </row>
    <row r="6" spans="1:6" ht="12.75">
      <c r="A6" s="72" t="s">
        <v>296</v>
      </c>
      <c r="B6" s="73">
        <f>Projeções!D8</f>
        <v>15084451.010000002</v>
      </c>
      <c r="C6" s="73">
        <f>Projeções!E8</f>
        <v>16181965.710000003</v>
      </c>
      <c r="D6" s="73">
        <f>Projeções!F8</f>
        <v>17370441.099999998</v>
      </c>
      <c r="E6" s="73">
        <f>Projeções!G8</f>
        <v>18297741.50320357</v>
      </c>
      <c r="F6" s="73">
        <f>Projeções!H8</f>
        <v>19442646.870222267</v>
      </c>
    </row>
    <row r="7" spans="1:6" ht="12.75">
      <c r="A7" s="74" t="s">
        <v>290</v>
      </c>
      <c r="B7" s="75">
        <f>B8+B9+B10+B11+B12</f>
        <v>2244456.42</v>
      </c>
      <c r="C7" s="75">
        <f>C8+C9+C10+C11+C12</f>
        <v>2430974.33</v>
      </c>
      <c r="D7" s="75">
        <f>D8+D9+D10+D11+D12</f>
        <v>2516974.2</v>
      </c>
      <c r="E7" s="75">
        <f>E8+E9+E10+E11+E12</f>
        <v>2780727.57247038</v>
      </c>
      <c r="F7" s="75">
        <f>F8+F9+F10+F11+F12</f>
        <v>2956280.2218356845</v>
      </c>
    </row>
    <row r="8" spans="1:6" ht="12.75">
      <c r="A8" s="76" t="s">
        <v>291</v>
      </c>
      <c r="B8" s="77">
        <f>Projeções!D10+Projeções!D11</f>
        <v>123237.73</v>
      </c>
      <c r="C8" s="77">
        <f>Projeções!E10+Projeções!E11</f>
        <v>141180.32</v>
      </c>
      <c r="D8" s="77">
        <f>Projeções!F10+Projeções!F11</f>
        <v>139685.52</v>
      </c>
      <c r="E8" s="77">
        <f>Projeções!G10+Projeções!G11</f>
        <v>156248.21414250947</v>
      </c>
      <c r="F8" s="77">
        <f>Projeções!H10+Projeções!H11</f>
        <v>142585.16794000886</v>
      </c>
    </row>
    <row r="9" spans="1:6" ht="12.75">
      <c r="A9" s="78" t="s">
        <v>292</v>
      </c>
      <c r="B9" s="79">
        <f>Projeções!E17</f>
        <v>0</v>
      </c>
      <c r="C9" s="79">
        <f>Projeções!F17</f>
        <v>0</v>
      </c>
      <c r="D9" s="79">
        <f>Projeções!G17</f>
        <v>0</v>
      </c>
      <c r="E9" s="79">
        <f>Projeções!H17</f>
        <v>0</v>
      </c>
      <c r="F9" s="79">
        <f>Projeções!I17</f>
        <v>0</v>
      </c>
    </row>
    <row r="10" spans="1:6" ht="12.75">
      <c r="A10" s="80" t="s">
        <v>293</v>
      </c>
      <c r="B10" s="79">
        <f>Projeções!E72</f>
        <v>0</v>
      </c>
      <c r="C10" s="79">
        <f>Projeções!F72</f>
        <v>0</v>
      </c>
      <c r="D10" s="79">
        <f>Projeções!G72</f>
        <v>0</v>
      </c>
      <c r="E10" s="79">
        <f>Projeções!H72</f>
        <v>0</v>
      </c>
      <c r="F10" s="79">
        <f>Projeções!I72</f>
        <v>0</v>
      </c>
    </row>
    <row r="11" spans="1:6" ht="12.75">
      <c r="A11" s="80" t="s">
        <v>305</v>
      </c>
      <c r="B11" s="79">
        <f>Projeções!E28</f>
        <v>0</v>
      </c>
      <c r="C11" s="79">
        <f>Projeções!F28</f>
        <v>0</v>
      </c>
      <c r="D11" s="79">
        <f>Projeções!G28</f>
        <v>0</v>
      </c>
      <c r="E11" s="79">
        <f>Projeções!H28</f>
        <v>0</v>
      </c>
      <c r="F11" s="79">
        <f>Projeções!I28</f>
        <v>0</v>
      </c>
    </row>
    <row r="12" spans="1:6" ht="12.75">
      <c r="A12" s="78" t="s">
        <v>302</v>
      </c>
      <c r="B12" s="79">
        <f>-(Projeções!D100+Projeções!D101+Projeções!D102)</f>
        <v>2121218.69</v>
      </c>
      <c r="C12" s="79">
        <f>-(Projeções!E100+Projeções!E101+Projeções!E102)</f>
        <v>2289794.0100000002</v>
      </c>
      <c r="D12" s="79">
        <f>-(Projeções!F100+Projeções!F101+Projeções!F102)</f>
        <v>2377288.68</v>
      </c>
      <c r="E12" s="79">
        <f>-(Projeções!G100+Projeções!G101+Projeções!G102)</f>
        <v>2624479.3583278707</v>
      </c>
      <c r="F12" s="79">
        <f>-(Projeções!H100+Projeções!H101+Projeções!H102)</f>
        <v>2813695.0538956756</v>
      </c>
    </row>
    <row r="13" spans="1:6" ht="12.75">
      <c r="A13" s="74" t="s">
        <v>294</v>
      </c>
      <c r="B13" s="75">
        <f>-(IF(Projeções!D63+Projeções!D101&gt;0,0,Projeções!D63+Projeções!D101))</f>
        <v>725828.6000000001</v>
      </c>
      <c r="C13" s="75">
        <f>-(IF(Projeções!E63+Projeções!E101&gt;0,0,Projeções!E63+Projeções!E101))</f>
        <v>848145.3900000001</v>
      </c>
      <c r="D13" s="75">
        <f>-(IF(Projeções!F63+Projeções!F101&gt;0,0,Projeções!F63+Projeções!F101))</f>
        <v>783372</v>
      </c>
      <c r="E13" s="75">
        <f>-(IF(Projeções!G63+Projeções!G101&gt;0,0,Projeções!G63+Projeções!G101))</f>
        <v>984588.8328575301</v>
      </c>
      <c r="F13" s="75">
        <f>-(IF(Projeções!H63+Projeções!H101&gt;0,0,Projeções!H63+Projeções!H101))</f>
        <v>1078244.7327449904</v>
      </c>
    </row>
    <row r="14" spans="1:6" ht="12.75">
      <c r="A14" s="72" t="s">
        <v>295</v>
      </c>
      <c r="B14" s="73">
        <f>B6-B7+B13</f>
        <v>13565823.190000001</v>
      </c>
      <c r="C14" s="73">
        <f>C6-C7+C13</f>
        <v>14599136.770000003</v>
      </c>
      <c r="D14" s="73">
        <f>D6-D7+D13</f>
        <v>15636838.899999999</v>
      </c>
      <c r="E14" s="73">
        <f>E6-E7+E13</f>
        <v>16501602.763590721</v>
      </c>
      <c r="F14" s="73">
        <f>F6-F7+F13</f>
        <v>17564611.381131575</v>
      </c>
    </row>
    <row r="16" ht="12.75">
      <c r="A16" s="89"/>
    </row>
    <row r="19" ht="12.75">
      <c r="B19" s="96"/>
    </row>
  </sheetData>
  <sheetProtection/>
  <mergeCells count="4">
    <mergeCell ref="A1:F1"/>
    <mergeCell ref="A2:F2"/>
    <mergeCell ref="A3:F3"/>
    <mergeCell ref="A4:F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17.7109375" style="0" customWidth="1"/>
    <col min="4" max="4" width="19.7109375" style="0" customWidth="1"/>
  </cols>
  <sheetData>
    <row r="1" spans="1:4" ht="12.75">
      <c r="A1" s="245" t="str">
        <f>Parâmetros!A7</f>
        <v>Município de : JACUIZINHO RS</v>
      </c>
      <c r="B1" s="246"/>
      <c r="C1" s="246"/>
      <c r="D1" s="246"/>
    </row>
    <row r="2" spans="1:4" ht="12.75">
      <c r="A2" s="247" t="s">
        <v>395</v>
      </c>
      <c r="B2" s="247"/>
      <c r="C2" s="247"/>
      <c r="D2" s="247"/>
    </row>
    <row r="3" spans="1:4" ht="13.5">
      <c r="A3" s="248" t="s">
        <v>378</v>
      </c>
      <c r="B3" s="249"/>
      <c r="C3" s="249"/>
      <c r="D3" s="249"/>
    </row>
    <row r="4" spans="1:4" ht="15">
      <c r="A4" s="82"/>
      <c r="B4" s="81"/>
      <c r="C4" s="81"/>
      <c r="D4" s="81"/>
    </row>
    <row r="5" spans="1:4" ht="12.75">
      <c r="A5" s="242" t="s">
        <v>309</v>
      </c>
      <c r="B5" s="244"/>
      <c r="C5" s="244"/>
      <c r="D5" s="244"/>
    </row>
    <row r="6" spans="1:4" ht="12.75">
      <c r="A6" s="243"/>
      <c r="B6" s="83">
        <f>Parâmetros!E10</f>
        <v>2020</v>
      </c>
      <c r="C6" s="83">
        <f>Parâmetros!F10</f>
        <v>2021</v>
      </c>
      <c r="D6" s="83">
        <f>Parâmetros!G10</f>
        <v>2022</v>
      </c>
    </row>
    <row r="7" spans="1:4" ht="12.75">
      <c r="A7" s="84" t="s">
        <v>306</v>
      </c>
      <c r="B7" s="88">
        <f>RCL!D14*0.54</f>
        <v>8443893.006</v>
      </c>
      <c r="C7" s="88">
        <f>RCL!E14*0.54</f>
        <v>8910865.49233899</v>
      </c>
      <c r="D7" s="88">
        <f>RCL!F14*0.54</f>
        <v>9484890.145811051</v>
      </c>
    </row>
    <row r="8" spans="1:4" ht="12.75">
      <c r="A8" s="85" t="s">
        <v>307</v>
      </c>
      <c r="B8" s="88">
        <f>RCL!D14*0.513</f>
        <v>8021698.355699999</v>
      </c>
      <c r="C8" s="88">
        <f>RCL!E14*0.513</f>
        <v>8465322.21772204</v>
      </c>
      <c r="D8" s="88">
        <f>RCL!F14*0.513</f>
        <v>9010645.638520498</v>
      </c>
    </row>
    <row r="9" spans="1:4" ht="12.75">
      <c r="A9" s="84" t="s">
        <v>308</v>
      </c>
      <c r="B9" s="88">
        <f>RCL!D14*0.486</f>
        <v>7599503.705399999</v>
      </c>
      <c r="C9" s="88">
        <f>RCL!E14*0.486</f>
        <v>8019778.94310509</v>
      </c>
      <c r="D9" s="88">
        <f>RCL!F14*0.486</f>
        <v>8536401.131229945</v>
      </c>
    </row>
    <row r="10" spans="1:4" ht="12.75">
      <c r="A10" s="250"/>
      <c r="B10" s="250"/>
      <c r="C10" s="250"/>
      <c r="D10" s="250"/>
    </row>
    <row r="11" spans="1:4" ht="12.75">
      <c r="A11" s="86"/>
      <c r="B11" s="87"/>
      <c r="C11" s="87"/>
      <c r="D11" s="87"/>
    </row>
    <row r="12" spans="1:4" ht="12.75">
      <c r="A12" s="86"/>
      <c r="B12" s="87"/>
      <c r="C12" s="87"/>
      <c r="D12" s="87"/>
    </row>
    <row r="13" spans="1:4" ht="12.75">
      <c r="A13" s="242" t="s">
        <v>310</v>
      </c>
      <c r="B13" s="244"/>
      <c r="C13" s="244"/>
      <c r="D13" s="244"/>
    </row>
    <row r="14" spans="1:4" ht="12.75">
      <c r="A14" s="243"/>
      <c r="B14" s="83">
        <f>Parâmetros!E10</f>
        <v>2020</v>
      </c>
      <c r="C14" s="83">
        <f>Parâmetros!F10</f>
        <v>2021</v>
      </c>
      <c r="D14" s="83">
        <f>Parâmetros!G10</f>
        <v>2022</v>
      </c>
    </row>
    <row r="15" spans="1:4" ht="12.75">
      <c r="A15" s="92" t="s">
        <v>311</v>
      </c>
      <c r="B15" s="90">
        <f>RCL!D14*0.06</f>
        <v>938210.3339999999</v>
      </c>
      <c r="C15" s="90">
        <f>RCL!E14*0.06</f>
        <v>990096.1658154433</v>
      </c>
      <c r="D15" s="90">
        <f>RCL!F14*0.06</f>
        <v>1053876.6828678944</v>
      </c>
    </row>
    <row r="16" spans="1:4" ht="12.75">
      <c r="A16" s="93" t="s">
        <v>312</v>
      </c>
      <c r="B16" s="88">
        <f>RCL!D14*0.057</f>
        <v>891299.8173</v>
      </c>
      <c r="C16" s="88">
        <f>RCL!E14*0.057</f>
        <v>940591.3575246711</v>
      </c>
      <c r="D16" s="88">
        <f>RCL!F14*0.057</f>
        <v>1001182.8487244998</v>
      </c>
    </row>
    <row r="17" spans="1:4" ht="12.75">
      <c r="A17" s="94" t="s">
        <v>313</v>
      </c>
      <c r="B17" s="91">
        <f>RCL!D14*0.054</f>
        <v>844389.3006</v>
      </c>
      <c r="C17" s="91">
        <f>RCL!E14*0.054</f>
        <v>891086.549233899</v>
      </c>
      <c r="D17" s="91">
        <f>RCL!F14*0.054</f>
        <v>948489.014581105</v>
      </c>
    </row>
    <row r="20" spans="1:4" ht="12.75">
      <c r="A20" s="95"/>
      <c r="B20" s="97"/>
      <c r="C20" s="97"/>
      <c r="D20" s="97"/>
    </row>
    <row r="21" spans="1:4" ht="12.75">
      <c r="A21" s="97"/>
      <c r="B21" s="97"/>
      <c r="C21" s="97"/>
      <c r="D21" s="97"/>
    </row>
    <row r="22" spans="1:4" ht="12.75">
      <c r="A22" s="97"/>
      <c r="B22" s="97"/>
      <c r="C22" s="97"/>
      <c r="D22" s="97"/>
    </row>
    <row r="23" spans="1:4" ht="12.75">
      <c r="A23" s="97"/>
      <c r="B23" s="97"/>
      <c r="C23" s="97"/>
      <c r="D23" s="97"/>
    </row>
    <row r="24" spans="1:4" ht="12.75">
      <c r="A24" s="97"/>
      <c r="B24" s="97"/>
      <c r="C24" s="97"/>
      <c r="D24" s="97"/>
    </row>
    <row r="25" spans="1:4" ht="12.75">
      <c r="A25" s="97"/>
      <c r="B25" s="97"/>
      <c r="C25" s="97"/>
      <c r="D25" s="97"/>
    </row>
    <row r="26" spans="1:4" ht="12.75">
      <c r="A26" s="97"/>
      <c r="B26" s="97"/>
      <c r="C26" s="97"/>
      <c r="D26" s="97"/>
    </row>
    <row r="27" spans="1:4" ht="12.75">
      <c r="A27" s="97"/>
      <c r="B27" s="97"/>
      <c r="C27" s="97"/>
      <c r="D27" s="97"/>
    </row>
    <row r="28" spans="1:4" ht="12.75">
      <c r="A28" s="97"/>
      <c r="B28" s="97"/>
      <c r="C28" s="97"/>
      <c r="D28" s="97"/>
    </row>
    <row r="29" spans="1:4" ht="12.75">
      <c r="A29" s="97"/>
      <c r="B29" s="97"/>
      <c r="C29" s="97"/>
      <c r="D29" s="97"/>
    </row>
    <row r="30" spans="1:4" ht="12.75">
      <c r="A30" s="97"/>
      <c r="B30" s="97"/>
      <c r="C30" s="97"/>
      <c r="D30" s="97"/>
    </row>
    <row r="31" spans="1:4" ht="12.75">
      <c r="A31" s="97"/>
      <c r="B31" s="97"/>
      <c r="C31" s="97"/>
      <c r="D31" s="97"/>
    </row>
    <row r="32" spans="1:4" ht="12.75">
      <c r="A32" s="97"/>
      <c r="B32" s="97"/>
      <c r="C32" s="97"/>
      <c r="D32" s="97"/>
    </row>
    <row r="33" spans="1:4" ht="12.75">
      <c r="A33" s="97"/>
      <c r="B33" s="97"/>
      <c r="C33" s="97"/>
      <c r="D33" s="97"/>
    </row>
    <row r="34" spans="1:4" ht="12.75">
      <c r="A34" s="97"/>
      <c r="B34" s="97"/>
      <c r="C34" s="97"/>
      <c r="D34" s="97"/>
    </row>
    <row r="35" spans="1:4" ht="0.75" customHeight="1">
      <c r="A35" s="97"/>
      <c r="B35" s="97"/>
      <c r="C35" s="97"/>
      <c r="D35" s="97"/>
    </row>
    <row r="36" spans="1:4" ht="12.75" customHeight="1" hidden="1">
      <c r="A36" s="97"/>
      <c r="B36" s="97"/>
      <c r="C36" s="97"/>
      <c r="D36" s="97"/>
    </row>
    <row r="37" spans="1:4" ht="12.75" customHeight="1" hidden="1">
      <c r="A37" s="97"/>
      <c r="B37" s="97"/>
      <c r="C37" s="97"/>
      <c r="D37" s="97"/>
    </row>
    <row r="38" spans="1:4" ht="12.75" customHeight="1" hidden="1">
      <c r="A38" s="97"/>
      <c r="B38" s="97"/>
      <c r="C38" s="97"/>
      <c r="D38" s="97"/>
    </row>
    <row r="39" spans="1:4" ht="12.75" customHeight="1" hidden="1">
      <c r="A39" s="97"/>
      <c r="B39" s="97"/>
      <c r="C39" s="97"/>
      <c r="D39" s="97"/>
    </row>
    <row r="40" spans="1:4" ht="12.75" customHeight="1" hidden="1">
      <c r="A40" s="97"/>
      <c r="B40" s="97"/>
      <c r="C40" s="97"/>
      <c r="D40" s="97"/>
    </row>
    <row r="41" spans="1:4" ht="12.75" customHeight="1" hidden="1">
      <c r="A41" s="97"/>
      <c r="B41" s="97"/>
      <c r="C41" s="97"/>
      <c r="D41" s="97"/>
    </row>
    <row r="42" spans="1:4" ht="12.75" customHeight="1" hidden="1">
      <c r="A42" s="97"/>
      <c r="B42" s="97"/>
      <c r="C42" s="97"/>
      <c r="D42" s="97"/>
    </row>
  </sheetData>
  <sheetProtection/>
  <mergeCells count="8">
    <mergeCell ref="A13:A14"/>
    <mergeCell ref="B13:D13"/>
    <mergeCell ref="A1:D1"/>
    <mergeCell ref="A2:D2"/>
    <mergeCell ref="A3:D3"/>
    <mergeCell ref="A5:A6"/>
    <mergeCell ref="B5:D5"/>
    <mergeCell ref="A10:D10"/>
  </mergeCells>
  <printOptions/>
  <pageMargins left="0.511811024" right="0.511811024" top="0.787401575" bottom="0.787401575" header="0.31496062" footer="0.31496062"/>
  <pageSetup horizontalDpi="600" verticalDpi="600" orientation="portrait" paperSize="9" scale="70" r:id="rId3"/>
  <legacyDrawing r:id="rId2"/>
  <oleObjects>
    <oleObject progId="Word.Document.8" shapeId="8505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90" zoomScaleNormal="90" zoomScalePageLayoutView="0" workbookViewId="0" topLeftCell="A1">
      <selection activeCell="A6" sqref="A6:F6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7" ht="12.75">
      <c r="A1" s="271" t="str">
        <f>Parâmetros!A7</f>
        <v>Município de : JACUIZINHO RS</v>
      </c>
      <c r="B1" s="256"/>
      <c r="C1" s="256"/>
      <c r="D1" s="256"/>
      <c r="E1" s="256"/>
      <c r="F1" s="257"/>
      <c r="G1" s="69"/>
    </row>
    <row r="2" spans="1:7" ht="12.75">
      <c r="A2" s="253" t="s">
        <v>396</v>
      </c>
      <c r="B2" s="254"/>
      <c r="C2" s="254"/>
      <c r="D2" s="254"/>
      <c r="E2" s="254"/>
      <c r="F2" s="255"/>
      <c r="G2" s="11"/>
    </row>
    <row r="3" spans="1:7" ht="12.75">
      <c r="A3" s="253"/>
      <c r="B3" s="256"/>
      <c r="C3" s="256"/>
      <c r="D3" s="256"/>
      <c r="E3" s="256"/>
      <c r="F3" s="257"/>
      <c r="G3" s="69"/>
    </row>
    <row r="4" spans="1:7" ht="12.75">
      <c r="A4" s="272" t="s">
        <v>314</v>
      </c>
      <c r="B4" s="273"/>
      <c r="C4" s="273"/>
      <c r="D4" s="273"/>
      <c r="E4" s="273"/>
      <c r="F4" s="274"/>
      <c r="G4" s="69"/>
    </row>
    <row r="5" spans="1:7" ht="12.75">
      <c r="A5" s="253" t="s">
        <v>365</v>
      </c>
      <c r="B5" s="254"/>
      <c r="C5" s="254"/>
      <c r="D5" s="254"/>
      <c r="E5" s="254"/>
      <c r="F5" s="255"/>
      <c r="G5" s="11"/>
    </row>
    <row r="6" spans="1:7" ht="12.75">
      <c r="A6" s="253"/>
      <c r="B6" s="256"/>
      <c r="C6" s="256"/>
      <c r="D6" s="256"/>
      <c r="E6" s="256"/>
      <c r="F6" s="257"/>
      <c r="G6" s="69"/>
    </row>
    <row r="7" spans="1:7" s="34" customFormat="1" ht="11.25" customHeight="1">
      <c r="A7" s="170" t="s">
        <v>317</v>
      </c>
      <c r="B7" s="157"/>
      <c r="C7" s="157"/>
      <c r="D7" s="157"/>
      <c r="E7" s="157"/>
      <c r="F7" s="158"/>
      <c r="G7" s="159">
        <v>1</v>
      </c>
    </row>
    <row r="8" spans="1:7" s="35" customFormat="1" ht="11.25" customHeight="1">
      <c r="A8" s="258" t="s">
        <v>74</v>
      </c>
      <c r="B8" s="261" t="s">
        <v>75</v>
      </c>
      <c r="C8" s="264" t="s">
        <v>76</v>
      </c>
      <c r="D8" s="261" t="s">
        <v>48</v>
      </c>
      <c r="E8" s="267"/>
      <c r="F8" s="258"/>
      <c r="G8" s="264" t="s">
        <v>49</v>
      </c>
    </row>
    <row r="9" spans="1:7" s="35" customFormat="1" ht="11.25" customHeight="1">
      <c r="A9" s="259"/>
      <c r="B9" s="262"/>
      <c r="C9" s="265"/>
      <c r="D9" s="263"/>
      <c r="E9" s="268"/>
      <c r="F9" s="260"/>
      <c r="G9" s="265"/>
    </row>
    <row r="10" spans="1:7" s="34" customFormat="1" ht="24" customHeight="1">
      <c r="A10" s="260"/>
      <c r="B10" s="263"/>
      <c r="C10" s="266"/>
      <c r="D10" s="160">
        <f>Parâmetros!E10</f>
        <v>2020</v>
      </c>
      <c r="E10" s="160">
        <f>D10+1</f>
        <v>2021</v>
      </c>
      <c r="F10" s="160">
        <f>E10+1</f>
        <v>2022</v>
      </c>
      <c r="G10" s="266"/>
    </row>
    <row r="11" spans="1:7" s="34" customFormat="1" ht="41.25" customHeight="1">
      <c r="A11" s="216" t="s">
        <v>379</v>
      </c>
      <c r="B11" s="216" t="s">
        <v>380</v>
      </c>
      <c r="C11" s="216" t="s">
        <v>381</v>
      </c>
      <c r="D11" s="162">
        <v>1619.47</v>
      </c>
      <c r="E11" s="163">
        <f>D11*(1+B25)</f>
        <v>1681.0098600000001</v>
      </c>
      <c r="F11" s="163">
        <f>E11*(1+B26)</f>
        <v>1743.20722482</v>
      </c>
      <c r="G11" s="269" t="s">
        <v>78</v>
      </c>
    </row>
    <row r="12" spans="1:7" s="34" customFormat="1" ht="42" customHeight="1">
      <c r="A12" s="216" t="s">
        <v>397</v>
      </c>
      <c r="B12" s="216" t="s">
        <v>380</v>
      </c>
      <c r="C12" s="216" t="s">
        <v>398</v>
      </c>
      <c r="D12" s="162">
        <v>180</v>
      </c>
      <c r="E12" s="163">
        <f>D12*(1+B25)</f>
        <v>186.84</v>
      </c>
      <c r="F12" s="163">
        <f>E12*(1+B26)</f>
        <v>193.75307999999998</v>
      </c>
      <c r="G12" s="270"/>
    </row>
    <row r="13" spans="1:7" s="34" customFormat="1" ht="45.75" customHeight="1">
      <c r="A13" s="161"/>
      <c r="B13" s="216"/>
      <c r="C13" s="161"/>
      <c r="D13" s="162">
        <v>0</v>
      </c>
      <c r="E13" s="163">
        <f>D13*(1+B25)</f>
        <v>0</v>
      </c>
      <c r="F13" s="163">
        <f>E13*(1+B26)</f>
        <v>0</v>
      </c>
      <c r="G13" s="164" t="s">
        <v>79</v>
      </c>
    </row>
    <row r="14" spans="1:7" s="34" customFormat="1" ht="11.25" customHeight="1">
      <c r="A14" s="161"/>
      <c r="B14" s="216"/>
      <c r="C14" s="161"/>
      <c r="D14" s="162"/>
      <c r="E14" s="163">
        <f>D14*(1+B25)</f>
        <v>0</v>
      </c>
      <c r="F14" s="163">
        <f>E14*(1+B26)</f>
        <v>0</v>
      </c>
      <c r="G14" s="164"/>
    </row>
    <row r="15" spans="1:7" s="34" customFormat="1" ht="11.25" customHeight="1">
      <c r="A15" s="161"/>
      <c r="B15" s="216"/>
      <c r="C15" s="161"/>
      <c r="D15" s="162"/>
      <c r="E15" s="163">
        <f>D15*(1+B25)</f>
        <v>0</v>
      </c>
      <c r="F15" s="163">
        <f>E15*(1+B26)</f>
        <v>0</v>
      </c>
      <c r="G15" s="164"/>
    </row>
    <row r="16" spans="1:7" s="34" customFormat="1" ht="11.25" customHeight="1">
      <c r="A16" s="161"/>
      <c r="B16" s="216"/>
      <c r="C16" s="161"/>
      <c r="D16" s="162"/>
      <c r="E16" s="163">
        <f>D16*(1+B25)</f>
        <v>0</v>
      </c>
      <c r="F16" s="163">
        <f>E16*(1+B26)</f>
        <v>0</v>
      </c>
      <c r="G16" s="164"/>
    </row>
    <row r="17" spans="1:7" s="34" customFormat="1" ht="11.25" customHeight="1">
      <c r="A17" s="161"/>
      <c r="B17" s="216"/>
      <c r="C17" s="161"/>
      <c r="D17" s="162"/>
      <c r="E17" s="163"/>
      <c r="F17" s="163"/>
      <c r="G17" s="164"/>
    </row>
    <row r="18" spans="1:7" s="34" customFormat="1" ht="11.25" customHeight="1">
      <c r="A18" s="165"/>
      <c r="B18" s="216"/>
      <c r="C18" s="165"/>
      <c r="D18" s="166"/>
      <c r="E18" s="163">
        <f>D18*(1+B25)</f>
        <v>0</v>
      </c>
      <c r="F18" s="163">
        <f>E18*(1+B26)</f>
        <v>0</v>
      </c>
      <c r="G18" s="167"/>
    </row>
    <row r="19" spans="1:7" s="34" customFormat="1" ht="11.25" customHeight="1">
      <c r="A19" s="251" t="s">
        <v>47</v>
      </c>
      <c r="B19" s="251"/>
      <c r="C19" s="252"/>
      <c r="D19" s="168">
        <f>SUM(D11:D18)</f>
        <v>1799.47</v>
      </c>
      <c r="E19" s="168">
        <f>SUM(E11:E18)</f>
        <v>1867.84986</v>
      </c>
      <c r="F19" s="168">
        <f>SUM(F11:F18)</f>
        <v>1936.96030482</v>
      </c>
      <c r="G19" s="169" t="s">
        <v>77</v>
      </c>
    </row>
    <row r="20" spans="1:7" s="34" customFormat="1" ht="11.25" customHeight="1">
      <c r="A20" s="44" t="s">
        <v>399</v>
      </c>
      <c r="B20" s="37"/>
      <c r="C20" s="37"/>
      <c r="D20" s="37"/>
      <c r="E20" s="37"/>
      <c r="F20" s="37"/>
      <c r="G20" s="37"/>
    </row>
    <row r="21" spans="1:6" ht="12.75">
      <c r="A21" s="11" t="s">
        <v>366</v>
      </c>
      <c r="B21" s="36"/>
      <c r="C21" s="36"/>
      <c r="D21" s="36"/>
      <c r="E21" s="36"/>
      <c r="F21" s="36"/>
    </row>
    <row r="22" ht="12.75">
      <c r="A22" t="s">
        <v>70</v>
      </c>
    </row>
    <row r="23" ht="12.75">
      <c r="A23" s="11" t="s">
        <v>367</v>
      </c>
    </row>
    <row r="24" ht="12.75">
      <c r="A24" t="s">
        <v>72</v>
      </c>
    </row>
    <row r="25" spans="1:2" ht="12.75">
      <c r="A25" s="11" t="s">
        <v>342</v>
      </c>
      <c r="B25" s="31">
        <f>Parâmetros!F11</f>
        <v>0.038</v>
      </c>
    </row>
    <row r="26" spans="1:2" ht="12.75">
      <c r="A26" s="11" t="s">
        <v>368</v>
      </c>
      <c r="B26" s="31">
        <f>Parâmetros!G11</f>
        <v>0.037</v>
      </c>
    </row>
    <row r="27" ht="12.75">
      <c r="B27" s="31"/>
    </row>
  </sheetData>
  <sheetProtection/>
  <mergeCells count="13">
    <mergeCell ref="G8:G10"/>
    <mergeCell ref="G11:G12"/>
    <mergeCell ref="A1:F1"/>
    <mergeCell ref="A2:F2"/>
    <mergeCell ref="A3:F3"/>
    <mergeCell ref="A4:F4"/>
    <mergeCell ref="A19:C19"/>
    <mergeCell ref="A5:F5"/>
    <mergeCell ref="A6:F6"/>
    <mergeCell ref="A8:A10"/>
    <mergeCell ref="B8:B10"/>
    <mergeCell ref="C8:C10"/>
    <mergeCell ref="D8:F9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4">
      <selection activeCell="A25" sqref="A25"/>
    </sheetView>
  </sheetViews>
  <sheetFormatPr defaultColWidth="9.140625" defaultRowHeight="12.75"/>
  <cols>
    <col min="1" max="1" width="55.57421875" style="11" customWidth="1"/>
    <col min="2" max="2" width="47.57421875" style="11" customWidth="1"/>
    <col min="3" max="16384" width="9.140625" style="11" customWidth="1"/>
  </cols>
  <sheetData>
    <row r="1" spans="1:2" ht="14.25">
      <c r="A1" s="275" t="str">
        <f>Parâmetros!A7</f>
        <v>Município de : JACUIZINHO RS</v>
      </c>
      <c r="B1" s="276"/>
    </row>
    <row r="2" spans="1:2" ht="14.25">
      <c r="A2" s="277" t="s">
        <v>400</v>
      </c>
      <c r="B2" s="276"/>
    </row>
    <row r="3" spans="1:2" ht="14.25">
      <c r="A3" s="277"/>
      <c r="B3" s="276"/>
    </row>
    <row r="4" spans="1:2" ht="15">
      <c r="A4" s="280" t="s">
        <v>315</v>
      </c>
      <c r="B4" s="281"/>
    </row>
    <row r="5" spans="1:2" ht="14.25">
      <c r="A5" s="277" t="s">
        <v>365</v>
      </c>
      <c r="B5" s="276"/>
    </row>
    <row r="6" spans="1:2" ht="14.25">
      <c r="A6" s="277"/>
      <c r="B6" s="276"/>
    </row>
    <row r="7" spans="1:2" ht="15">
      <c r="A7" s="171" t="s">
        <v>316</v>
      </c>
      <c r="B7" s="172">
        <v>1</v>
      </c>
    </row>
    <row r="8" spans="1:2" s="12" customFormat="1" ht="25.5" customHeight="1">
      <c r="A8" s="144" t="s">
        <v>50</v>
      </c>
      <c r="B8" s="148" t="s">
        <v>369</v>
      </c>
    </row>
    <row r="9" spans="1:2" ht="15">
      <c r="A9" s="173" t="s">
        <v>51</v>
      </c>
      <c r="B9" s="174">
        <f>(B10+B11)</f>
        <v>-521342.6419524284</v>
      </c>
    </row>
    <row r="10" spans="1:2" ht="14.25">
      <c r="A10" s="145" t="s">
        <v>66</v>
      </c>
      <c r="B10" s="147">
        <f>(Projeções!G9/(1+Parâmetros!E11))-(Projeções!F9*(1+Parâmetros!D11))</f>
        <v>115253.46686233266</v>
      </c>
    </row>
    <row r="11" spans="1:2" ht="14.25">
      <c r="A11" s="145" t="s">
        <v>67</v>
      </c>
      <c r="B11" s="147">
        <f>(Projeções!G39/(1+Parâmetros!E11))-(Projeções!F39*(1+Parâmetros!D11))</f>
        <v>-636596.108814761</v>
      </c>
    </row>
    <row r="12" spans="1:2" ht="14.25">
      <c r="A12" s="145" t="s">
        <v>97</v>
      </c>
      <c r="B12" s="147">
        <v>0</v>
      </c>
    </row>
    <row r="13" spans="1:2" ht="14.25">
      <c r="A13" s="146" t="s">
        <v>73</v>
      </c>
      <c r="B13" s="147">
        <f>(Projeções!G101/(1+Parâmetros!E11)-(Projeções!F101*(1+Parâmetros!D11)))</f>
        <v>-60156.801647504326</v>
      </c>
    </row>
    <row r="14" spans="1:2" ht="15">
      <c r="A14" s="175" t="s">
        <v>52</v>
      </c>
      <c r="B14" s="176">
        <f>B9+B13</f>
        <v>-581499.4435999327</v>
      </c>
    </row>
    <row r="15" spans="1:2" ht="14.25">
      <c r="A15" s="146" t="s">
        <v>53</v>
      </c>
      <c r="B15" s="177">
        <v>0</v>
      </c>
    </row>
    <row r="16" spans="1:2" ht="15">
      <c r="A16" s="146" t="s">
        <v>54</v>
      </c>
      <c r="B16" s="176">
        <f>B14+B15</f>
        <v>-581499.4435999327</v>
      </c>
    </row>
    <row r="17" spans="1:2" ht="14.25">
      <c r="A17" s="145" t="s">
        <v>55</v>
      </c>
      <c r="B17" s="147"/>
    </row>
    <row r="18" spans="1:2" ht="15">
      <c r="A18" s="175" t="s">
        <v>94</v>
      </c>
      <c r="B18" s="176">
        <f>B19+B20</f>
        <v>337822.27624380216</v>
      </c>
    </row>
    <row r="19" spans="1:2" ht="14.25">
      <c r="A19" s="146" t="s">
        <v>68</v>
      </c>
      <c r="B19" s="147">
        <f>Projeções!G114/(1+Parâmetros!E11)-(Projeções!F114*(1+Parâmetros!D11))</f>
        <v>147760.39916460402</v>
      </c>
    </row>
    <row r="20" spans="1:2" ht="14.25">
      <c r="A20" s="146" t="s">
        <v>69</v>
      </c>
      <c r="B20" s="147">
        <f>Projeções!G124/(1+Parâmetros!E11)-Projeções!F124*(1+Parâmetros!D11)</f>
        <v>190061.87707919814</v>
      </c>
    </row>
    <row r="21" spans="1:2" ht="15">
      <c r="A21" s="175" t="s">
        <v>95</v>
      </c>
      <c r="B21" s="178">
        <v>0</v>
      </c>
    </row>
    <row r="22" spans="1:2" ht="21" customHeight="1">
      <c r="A22" s="175" t="s">
        <v>96</v>
      </c>
      <c r="B22" s="179" t="str">
        <f>IF(B16-B17-B18&lt;0,"SEM MARGEM",B16-B17-B18)</f>
        <v>SEM MARGEM</v>
      </c>
    </row>
    <row r="23" spans="1:2" ht="15">
      <c r="A23" s="278"/>
      <c r="B23" s="279"/>
    </row>
    <row r="24" ht="12.75">
      <c r="A24" s="7"/>
    </row>
    <row r="25" spans="1:2" ht="12.75">
      <c r="A25" s="41"/>
      <c r="B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6">
      <selection activeCell="B24" sqref="B24"/>
    </sheetView>
  </sheetViews>
  <sheetFormatPr defaultColWidth="9.140625" defaultRowHeight="12.75"/>
  <cols>
    <col min="1" max="1" width="38.8515625" style="11" customWidth="1"/>
    <col min="2" max="2" width="15.7109375" style="11" customWidth="1"/>
    <col min="3" max="3" width="36.8515625" style="11" customWidth="1"/>
    <col min="4" max="4" width="15.7109375" style="11" customWidth="1"/>
    <col min="5" max="5" width="9.140625" style="11" customWidth="1"/>
  </cols>
  <sheetData>
    <row r="1" spans="1:4" ht="14.25">
      <c r="A1" s="291" t="str">
        <f>Parâmetros!A7</f>
        <v>Município de : JACUIZINHO RS</v>
      </c>
      <c r="B1" s="289"/>
      <c r="C1" s="289"/>
      <c r="D1" s="289"/>
    </row>
    <row r="2" spans="1:4" ht="14.25">
      <c r="A2" s="289" t="s">
        <v>400</v>
      </c>
      <c r="B2" s="289"/>
      <c r="C2" s="289"/>
      <c r="D2" s="289"/>
    </row>
    <row r="3" spans="1:4" ht="14.25">
      <c r="A3" s="289" t="s">
        <v>80</v>
      </c>
      <c r="B3" s="289"/>
      <c r="C3" s="289"/>
      <c r="D3" s="289"/>
    </row>
    <row r="4" spans="1:4" ht="15">
      <c r="A4" s="292" t="s">
        <v>56</v>
      </c>
      <c r="B4" s="292"/>
      <c r="C4" s="292"/>
      <c r="D4" s="292"/>
    </row>
    <row r="5" spans="1:4" ht="14.25">
      <c r="A5" s="289" t="s">
        <v>365</v>
      </c>
      <c r="B5" s="289"/>
      <c r="C5" s="289"/>
      <c r="D5" s="289"/>
    </row>
    <row r="6" spans="1:4" ht="14.25">
      <c r="A6" s="290"/>
      <c r="B6" s="290"/>
      <c r="C6" s="290"/>
      <c r="D6" s="290"/>
    </row>
    <row r="7" spans="1:4" ht="14.25">
      <c r="A7" s="282" t="s">
        <v>318</v>
      </c>
      <c r="B7" s="282"/>
      <c r="C7" s="283">
        <v>1</v>
      </c>
      <c r="D7" s="283"/>
    </row>
    <row r="8" spans="1:4" ht="15">
      <c r="A8" s="285" t="s">
        <v>81</v>
      </c>
      <c r="B8" s="285"/>
      <c r="C8" s="285" t="s">
        <v>57</v>
      </c>
      <c r="D8" s="285"/>
    </row>
    <row r="9" spans="1:4" ht="15">
      <c r="A9" s="180" t="s">
        <v>58</v>
      </c>
      <c r="B9" s="180" t="s">
        <v>46</v>
      </c>
      <c r="C9" s="180" t="s">
        <v>58</v>
      </c>
      <c r="D9" s="180" t="s">
        <v>46</v>
      </c>
    </row>
    <row r="10" spans="1:4" ht="14.25">
      <c r="A10" s="181" t="s">
        <v>82</v>
      </c>
      <c r="B10" s="182">
        <v>0</v>
      </c>
      <c r="C10" s="183"/>
      <c r="D10" s="182"/>
    </row>
    <row r="11" spans="1:4" ht="24.75" customHeight="1">
      <c r="A11" s="181" t="s">
        <v>83</v>
      </c>
      <c r="B11" s="182"/>
      <c r="C11" s="183"/>
      <c r="D11" s="182"/>
    </row>
    <row r="12" spans="1:4" ht="14.25">
      <c r="A12" s="181" t="s">
        <v>84</v>
      </c>
      <c r="B12" s="182"/>
      <c r="C12" s="183"/>
      <c r="D12" s="182"/>
    </row>
    <row r="13" spans="1:4" ht="14.25">
      <c r="A13" s="181" t="s">
        <v>85</v>
      </c>
      <c r="B13" s="182"/>
      <c r="C13" s="183"/>
      <c r="D13" s="182"/>
    </row>
    <row r="14" spans="1:4" ht="14.25">
      <c r="A14" s="181" t="s">
        <v>86</v>
      </c>
      <c r="B14" s="182">
        <v>0</v>
      </c>
      <c r="C14" s="183"/>
      <c r="D14" s="182"/>
    </row>
    <row r="15" spans="1:4" ht="71.25">
      <c r="A15" s="181" t="s">
        <v>87</v>
      </c>
      <c r="B15" s="182">
        <v>20000</v>
      </c>
      <c r="C15" s="183" t="s">
        <v>382</v>
      </c>
      <c r="D15" s="182">
        <v>20000</v>
      </c>
    </row>
    <row r="16" spans="1:4" ht="15">
      <c r="A16" s="184" t="s">
        <v>88</v>
      </c>
      <c r="B16" s="185">
        <f>SUM(B10:B15)</f>
        <v>20000</v>
      </c>
      <c r="C16" s="186" t="s">
        <v>88</v>
      </c>
      <c r="D16" s="187">
        <f>SUM(D10:D15)</f>
        <v>20000</v>
      </c>
    </row>
    <row r="17" spans="1:4" ht="14.25">
      <c r="A17" s="286"/>
      <c r="B17" s="286"/>
      <c r="C17" s="287"/>
      <c r="D17" s="288"/>
    </row>
    <row r="18" spans="1:4" ht="15">
      <c r="A18" s="284" t="s">
        <v>89</v>
      </c>
      <c r="B18" s="284"/>
      <c r="C18" s="285" t="s">
        <v>57</v>
      </c>
      <c r="D18" s="285"/>
    </row>
    <row r="19" spans="1:4" ht="15">
      <c r="A19" s="180" t="s">
        <v>58</v>
      </c>
      <c r="B19" s="180" t="s">
        <v>46</v>
      </c>
      <c r="C19" s="180" t="s">
        <v>58</v>
      </c>
      <c r="D19" s="180" t="s">
        <v>46</v>
      </c>
    </row>
    <row r="20" spans="1:4" ht="28.5">
      <c r="A20" s="181" t="s">
        <v>90</v>
      </c>
      <c r="B20" s="182">
        <v>40000</v>
      </c>
      <c r="C20" s="183" t="s">
        <v>383</v>
      </c>
      <c r="D20" s="182">
        <v>40000</v>
      </c>
    </row>
    <row r="21" spans="1:4" ht="14.25">
      <c r="A21" s="181" t="s">
        <v>91</v>
      </c>
      <c r="B21" s="182"/>
      <c r="C21" s="183"/>
      <c r="D21" s="182"/>
    </row>
    <row r="22" spans="1:4" ht="14.25">
      <c r="A22" s="181" t="s">
        <v>92</v>
      </c>
      <c r="B22" s="182"/>
      <c r="C22" s="183"/>
      <c r="D22" s="182"/>
    </row>
    <row r="23" spans="1:4" ht="14.25">
      <c r="A23" s="181" t="s">
        <v>93</v>
      </c>
      <c r="B23" s="182">
        <v>40000</v>
      </c>
      <c r="C23" s="183" t="s">
        <v>384</v>
      </c>
      <c r="D23" s="182">
        <v>40000</v>
      </c>
    </row>
    <row r="24" spans="1:4" ht="14.25">
      <c r="A24" s="181" t="s">
        <v>88</v>
      </c>
      <c r="B24" s="188">
        <f>SUM(B20:B23)</f>
        <v>80000</v>
      </c>
      <c r="C24" s="181" t="s">
        <v>88</v>
      </c>
      <c r="D24" s="188">
        <f>SUM(D20:D23)</f>
        <v>80000</v>
      </c>
    </row>
    <row r="25" spans="1:4" ht="15">
      <c r="A25" s="186" t="s">
        <v>47</v>
      </c>
      <c r="B25" s="187">
        <f>B16+B24</f>
        <v>100000</v>
      </c>
      <c r="C25" s="186" t="s">
        <v>47</v>
      </c>
      <c r="D25" s="187">
        <f>D16+D24</f>
        <v>100000</v>
      </c>
    </row>
  </sheetData>
  <sheetProtection/>
  <mergeCells count="14">
    <mergeCell ref="A5:D5"/>
    <mergeCell ref="A6:D6"/>
    <mergeCell ref="A1:D1"/>
    <mergeCell ref="A2:D2"/>
    <mergeCell ref="A3:D3"/>
    <mergeCell ref="A4:D4"/>
    <mergeCell ref="A7:B7"/>
    <mergeCell ref="C7:D7"/>
    <mergeCell ref="A18:B18"/>
    <mergeCell ref="C18:D18"/>
    <mergeCell ref="A8:B8"/>
    <mergeCell ref="C8:D8"/>
    <mergeCell ref="A17:B17"/>
    <mergeCell ref="C17:D17"/>
  </mergeCells>
  <printOptions/>
  <pageMargins left="0.787401575" right="0.787401575" top="0.984251969" bottom="0.984251969" header="0.492125985" footer="0.492125985"/>
  <pageSetup fitToWidth="0" fitToHeight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2.28125" style="0" customWidth="1"/>
    <col min="4" max="4" width="14.421875" style="0" customWidth="1"/>
    <col min="5" max="5" width="11.28125" style="0" customWidth="1"/>
    <col min="6" max="6" width="12.421875" style="0" customWidth="1"/>
    <col min="7" max="7" width="10.8515625" style="0" customWidth="1"/>
    <col min="8" max="8" width="11.57421875" style="0" customWidth="1"/>
    <col min="10" max="10" width="4.7109375" style="0" customWidth="1"/>
    <col min="11" max="11" width="3.7109375" style="0" hidden="1" customWidth="1"/>
    <col min="12" max="12" width="13.140625" style="0" customWidth="1"/>
  </cols>
  <sheetData>
    <row r="1" spans="1:12" ht="12.75">
      <c r="A1" s="326" t="s">
        <v>393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1:12" ht="13.5" thickBo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1"/>
    </row>
    <row r="3" spans="1:12" ht="15.75">
      <c r="A3" s="326" t="s">
        <v>401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</row>
    <row r="4" spans="1:12" ht="15.75">
      <c r="A4" s="334" t="s">
        <v>100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6"/>
    </row>
    <row r="5" spans="1:12" ht="16.5" thickBot="1">
      <c r="A5" s="337" t="s">
        <v>101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9"/>
    </row>
    <row r="6" spans="1:12" ht="15.75" thickBot="1">
      <c r="A6" s="340" t="s">
        <v>102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2"/>
    </row>
    <row r="7" spans="1:12" ht="13.5" thickBot="1">
      <c r="A7" s="343"/>
      <c r="B7" s="344"/>
      <c r="C7" s="42"/>
      <c r="D7" s="42"/>
      <c r="E7" s="309" t="s">
        <v>103</v>
      </c>
      <c r="F7" s="310"/>
      <c r="G7" s="311"/>
      <c r="H7" s="309" t="s">
        <v>370</v>
      </c>
      <c r="I7" s="310"/>
      <c r="J7" s="310"/>
      <c r="K7" s="310"/>
      <c r="L7" s="311"/>
    </row>
    <row r="8" spans="1:12" ht="12.75">
      <c r="A8" s="303" t="s">
        <v>104</v>
      </c>
      <c r="B8" s="304"/>
      <c r="C8" s="307" t="s">
        <v>105</v>
      </c>
      <c r="D8" s="307" t="s">
        <v>106</v>
      </c>
      <c r="E8" s="307" t="s">
        <v>371</v>
      </c>
      <c r="F8" s="307" t="s">
        <v>372</v>
      </c>
      <c r="G8" s="307" t="s">
        <v>373</v>
      </c>
      <c r="H8" s="307" t="s">
        <v>107</v>
      </c>
      <c r="I8" s="303" t="s">
        <v>113</v>
      </c>
      <c r="J8" s="313"/>
      <c r="K8" s="304"/>
      <c r="L8" s="307" t="s">
        <v>108</v>
      </c>
    </row>
    <row r="9" spans="1:12" ht="29.25" customHeight="1" thickBot="1">
      <c r="A9" s="305"/>
      <c r="B9" s="306"/>
      <c r="C9" s="308"/>
      <c r="D9" s="308"/>
      <c r="E9" s="308"/>
      <c r="F9" s="308"/>
      <c r="G9" s="308"/>
      <c r="H9" s="312"/>
      <c r="I9" s="314"/>
      <c r="J9" s="315"/>
      <c r="K9" s="316"/>
      <c r="L9" s="312"/>
    </row>
    <row r="10" spans="1:12" ht="13.5" thickBot="1">
      <c r="A10" s="293">
        <v>1107</v>
      </c>
      <c r="B10" s="294"/>
      <c r="C10" s="150" t="s">
        <v>385</v>
      </c>
      <c r="D10" s="151">
        <v>506550.84</v>
      </c>
      <c r="E10" s="152">
        <v>0.64</v>
      </c>
      <c r="F10" s="152">
        <v>0</v>
      </c>
      <c r="G10" s="211">
        <v>0.36</v>
      </c>
      <c r="H10" s="212">
        <v>184804.91</v>
      </c>
      <c r="I10" s="317" t="s">
        <v>386</v>
      </c>
      <c r="J10" s="318"/>
      <c r="K10" s="318"/>
      <c r="L10" s="319"/>
    </row>
    <row r="11" spans="1:12" ht="13.5" thickBot="1">
      <c r="A11" s="293">
        <v>1068</v>
      </c>
      <c r="B11" s="294"/>
      <c r="C11" s="153" t="s">
        <v>387</v>
      </c>
      <c r="D11" s="154">
        <v>285447.57</v>
      </c>
      <c r="E11" s="152">
        <v>0.3873</v>
      </c>
      <c r="F11" s="152">
        <v>0.5127</v>
      </c>
      <c r="G11" s="211">
        <v>0.1</v>
      </c>
      <c r="H11" s="197">
        <v>28544.76</v>
      </c>
      <c r="I11" s="320" t="s">
        <v>388</v>
      </c>
      <c r="J11" s="321"/>
      <c r="K11" s="321"/>
      <c r="L11" s="322"/>
    </row>
    <row r="12" spans="1:12" ht="26.25" customHeight="1" thickBot="1">
      <c r="A12" s="293">
        <v>1012</v>
      </c>
      <c r="B12" s="294"/>
      <c r="C12" s="155" t="s">
        <v>389</v>
      </c>
      <c r="D12" s="154">
        <v>160349.48</v>
      </c>
      <c r="E12" s="152">
        <v>0</v>
      </c>
      <c r="F12" s="152">
        <v>0.2</v>
      </c>
      <c r="G12" s="211">
        <v>0.8</v>
      </c>
      <c r="H12" s="197">
        <v>128279.52</v>
      </c>
      <c r="I12" s="323" t="s">
        <v>390</v>
      </c>
      <c r="J12" s="324"/>
      <c r="K12" s="324"/>
      <c r="L12" s="325"/>
    </row>
    <row r="13" spans="1:12" ht="30.75" customHeight="1" thickBot="1">
      <c r="A13" s="293">
        <v>2127</v>
      </c>
      <c r="B13" s="294"/>
      <c r="C13" s="155" t="s">
        <v>389</v>
      </c>
      <c r="D13" s="154">
        <v>248848.75</v>
      </c>
      <c r="E13" s="152">
        <v>0</v>
      </c>
      <c r="F13" s="152">
        <v>0.2</v>
      </c>
      <c r="G13" s="211">
        <v>0.8</v>
      </c>
      <c r="H13" s="197">
        <v>199079</v>
      </c>
      <c r="I13" s="323" t="s">
        <v>391</v>
      </c>
      <c r="J13" s="324"/>
      <c r="K13" s="324"/>
      <c r="L13" s="325"/>
    </row>
    <row r="14" spans="1:12" ht="13.5" thickBot="1">
      <c r="A14" s="296"/>
      <c r="B14" s="294"/>
      <c r="C14" s="155"/>
      <c r="D14" s="154"/>
      <c r="E14" s="152"/>
      <c r="F14" s="152"/>
      <c r="G14" s="211"/>
      <c r="H14" s="197"/>
      <c r="I14" s="295"/>
      <c r="J14" s="295"/>
      <c r="K14" s="295"/>
      <c r="L14" s="197"/>
    </row>
    <row r="15" spans="1:12" ht="13.5" thickBot="1">
      <c r="A15" s="296"/>
      <c r="B15" s="294"/>
      <c r="C15" s="153"/>
      <c r="D15" s="154"/>
      <c r="E15" s="152"/>
      <c r="F15" s="152"/>
      <c r="G15" s="211"/>
      <c r="H15" s="197"/>
      <c r="I15" s="295"/>
      <c r="J15" s="295"/>
      <c r="K15" s="295"/>
      <c r="L15" s="197"/>
    </row>
    <row r="16" spans="1:12" ht="13.5" thickBot="1">
      <c r="A16" s="296"/>
      <c r="B16" s="294"/>
      <c r="C16" s="153"/>
      <c r="D16" s="154"/>
      <c r="E16" s="152"/>
      <c r="F16" s="152"/>
      <c r="G16" s="211"/>
      <c r="H16" s="197"/>
      <c r="I16" s="295"/>
      <c r="J16" s="295"/>
      <c r="K16" s="295"/>
      <c r="L16" s="197"/>
    </row>
    <row r="17" spans="1:12" ht="13.5" thickBot="1">
      <c r="A17" s="296"/>
      <c r="B17" s="294"/>
      <c r="C17" s="153"/>
      <c r="D17" s="154"/>
      <c r="E17" s="152"/>
      <c r="F17" s="152"/>
      <c r="G17" s="211"/>
      <c r="H17" s="197"/>
      <c r="I17" s="295"/>
      <c r="J17" s="295"/>
      <c r="K17" s="295"/>
      <c r="L17" s="197"/>
    </row>
    <row r="18" spans="1:12" ht="13.5" thickBot="1">
      <c r="A18" s="296"/>
      <c r="B18" s="294"/>
      <c r="C18" s="153"/>
      <c r="D18" s="154"/>
      <c r="E18" s="152"/>
      <c r="F18" s="152"/>
      <c r="G18" s="211"/>
      <c r="H18" s="197"/>
      <c r="I18" s="295"/>
      <c r="J18" s="295"/>
      <c r="K18" s="295"/>
      <c r="L18" s="197"/>
    </row>
    <row r="19" spans="1:12" ht="13.5" thickBot="1">
      <c r="A19" s="296"/>
      <c r="B19" s="294"/>
      <c r="C19" s="153"/>
      <c r="D19" s="154"/>
      <c r="E19" s="152"/>
      <c r="F19" s="152"/>
      <c r="G19" s="211"/>
      <c r="H19" s="197"/>
      <c r="I19" s="295"/>
      <c r="J19" s="295"/>
      <c r="K19" s="295"/>
      <c r="L19" s="197"/>
    </row>
    <row r="20" spans="1:12" ht="13.5" thickBot="1">
      <c r="A20" s="296"/>
      <c r="B20" s="294"/>
      <c r="C20" s="153"/>
      <c r="D20" s="154"/>
      <c r="E20" s="152"/>
      <c r="F20" s="152"/>
      <c r="G20" s="211"/>
      <c r="H20" s="197"/>
      <c r="I20" s="295"/>
      <c r="J20" s="295"/>
      <c r="K20" s="295"/>
      <c r="L20" s="197"/>
    </row>
    <row r="21" spans="1:12" ht="13.5" thickBot="1">
      <c r="A21" s="296"/>
      <c r="B21" s="294"/>
      <c r="C21" s="153"/>
      <c r="D21" s="154"/>
      <c r="E21" s="152"/>
      <c r="F21" s="152"/>
      <c r="G21" s="211"/>
      <c r="H21" s="197"/>
      <c r="I21" s="295"/>
      <c r="J21" s="295"/>
      <c r="K21" s="295"/>
      <c r="L21" s="197"/>
    </row>
    <row r="22" spans="1:12" ht="13.5" thickBot="1">
      <c r="A22" s="296"/>
      <c r="B22" s="294"/>
      <c r="C22" s="153"/>
      <c r="D22" s="154"/>
      <c r="E22" s="152"/>
      <c r="F22" s="152"/>
      <c r="G22" s="211"/>
      <c r="H22" s="197"/>
      <c r="I22" s="295"/>
      <c r="J22" s="295"/>
      <c r="K22" s="295"/>
      <c r="L22" s="197"/>
    </row>
    <row r="23" spans="1:12" ht="13.5" thickBot="1">
      <c r="A23" s="296"/>
      <c r="B23" s="294"/>
      <c r="C23" s="153"/>
      <c r="D23" s="154"/>
      <c r="E23" s="152"/>
      <c r="F23" s="152"/>
      <c r="G23" s="211"/>
      <c r="H23" s="197"/>
      <c r="I23" s="295"/>
      <c r="J23" s="295"/>
      <c r="K23" s="295"/>
      <c r="L23" s="197"/>
    </row>
    <row r="24" spans="1:12" ht="13.5" thickBot="1">
      <c r="A24" s="296"/>
      <c r="B24" s="294"/>
      <c r="C24" s="153"/>
      <c r="D24" s="154"/>
      <c r="E24" s="152"/>
      <c r="F24" s="152"/>
      <c r="G24" s="211"/>
      <c r="H24" s="197"/>
      <c r="I24" s="295"/>
      <c r="J24" s="295"/>
      <c r="K24" s="295"/>
      <c r="L24" s="197"/>
    </row>
    <row r="25" spans="1:12" ht="13.5" thickBot="1">
      <c r="A25" s="296"/>
      <c r="B25" s="294"/>
      <c r="C25" s="153"/>
      <c r="D25" s="154"/>
      <c r="E25" s="152"/>
      <c r="F25" s="152"/>
      <c r="G25" s="211"/>
      <c r="H25" s="197"/>
      <c r="I25" s="295"/>
      <c r="J25" s="295"/>
      <c r="K25" s="295"/>
      <c r="L25" s="197"/>
    </row>
    <row r="26" spans="1:12" ht="13.5" thickBot="1">
      <c r="A26" s="297" t="s">
        <v>109</v>
      </c>
      <c r="B26" s="298"/>
      <c r="C26" s="298"/>
      <c r="D26" s="298"/>
      <c r="E26" s="298"/>
      <c r="F26" s="298"/>
      <c r="G26" s="299"/>
      <c r="H26" s="149">
        <f>SUM(H10:H25)</f>
        <v>540708.19</v>
      </c>
      <c r="I26" s="300">
        <v>0</v>
      </c>
      <c r="J26" s="301"/>
      <c r="K26" s="302"/>
      <c r="L26" s="149">
        <f>SUM(L10:L25)</f>
        <v>0</v>
      </c>
    </row>
    <row r="29" ht="12.75">
      <c r="N29" s="156"/>
    </row>
  </sheetData>
  <sheetProtection/>
  <mergeCells count="51">
    <mergeCell ref="E8:E9"/>
    <mergeCell ref="A14:B14"/>
    <mergeCell ref="A1:L2"/>
    <mergeCell ref="A3:L3"/>
    <mergeCell ref="A4:L4"/>
    <mergeCell ref="A5:L5"/>
    <mergeCell ref="L8:L9"/>
    <mergeCell ref="F8:F9"/>
    <mergeCell ref="A6:L6"/>
    <mergeCell ref="A7:B7"/>
    <mergeCell ref="E7:G7"/>
    <mergeCell ref="H7:L7"/>
    <mergeCell ref="D8:D9"/>
    <mergeCell ref="H8:H9"/>
    <mergeCell ref="G8:G9"/>
    <mergeCell ref="I8:K9"/>
    <mergeCell ref="A16:B16"/>
    <mergeCell ref="I16:K16"/>
    <mergeCell ref="I10:L10"/>
    <mergeCell ref="I11:L11"/>
    <mergeCell ref="I12:L12"/>
    <mergeCell ref="A19:B19"/>
    <mergeCell ref="I19:K19"/>
    <mergeCell ref="A20:B20"/>
    <mergeCell ref="A17:B17"/>
    <mergeCell ref="A8:B9"/>
    <mergeCell ref="C8:C9"/>
    <mergeCell ref="I17:K17"/>
    <mergeCell ref="I13:L13"/>
    <mergeCell ref="A10:B10"/>
    <mergeCell ref="A11:B11"/>
    <mergeCell ref="A15:B15"/>
    <mergeCell ref="I15:K15"/>
    <mergeCell ref="A26:G26"/>
    <mergeCell ref="I26:K26"/>
    <mergeCell ref="A24:B24"/>
    <mergeCell ref="I24:K24"/>
    <mergeCell ref="A25:B25"/>
    <mergeCell ref="I23:K23"/>
    <mergeCell ref="A22:B22"/>
    <mergeCell ref="I22:K22"/>
    <mergeCell ref="A12:B12"/>
    <mergeCell ref="A13:B13"/>
    <mergeCell ref="I14:K14"/>
    <mergeCell ref="A18:B18"/>
    <mergeCell ref="I18:K18"/>
    <mergeCell ref="I25:K25"/>
    <mergeCell ref="I20:K20"/>
    <mergeCell ref="A21:B21"/>
    <mergeCell ref="I21:K21"/>
    <mergeCell ref="A23:B23"/>
  </mergeCells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Administração</cp:lastModifiedBy>
  <cp:lastPrinted>2019-10-14T10:56:41Z</cp:lastPrinted>
  <dcterms:created xsi:type="dcterms:W3CDTF">2000-07-04T17:38:30Z</dcterms:created>
  <dcterms:modified xsi:type="dcterms:W3CDTF">2019-11-14T13:24:13Z</dcterms:modified>
  <cp:category/>
  <cp:version/>
  <cp:contentType/>
  <cp:contentStatus/>
</cp:coreProperties>
</file>